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 tabRatio="594"/>
  </bookViews>
  <sheets>
    <sheet name="норм шт" sheetId="1" r:id="rId1"/>
    <sheet name="рас нор чис АУП" sheetId="2" r:id="rId2"/>
    <sheet name="расч.числ рабочих" sheetId="37" r:id="rId3"/>
    <sheet name="сетка" sheetId="3" r:id="rId4"/>
    <sheet name="ШТАТ" sheetId="5" r:id="rId5"/>
    <sheet name="2.2" sheetId="6" r:id="rId6"/>
    <sheet name="2.1" sheetId="7" r:id="rId7"/>
    <sheet name="1.4" sheetId="10" r:id="rId8"/>
    <sheet name="потери 18" sheetId="49" r:id="rId9"/>
    <sheet name="норм маш" sheetId="11" r:id="rId10"/>
    <sheet name="командировки" sheetId="38" r:id="rId11"/>
    <sheet name="проезд в отпуск" sheetId="41" r:id="rId12"/>
    <sheet name="прочие" sheetId="12" r:id="rId13"/>
    <sheet name="нвв" sheetId="15" r:id="rId14"/>
    <sheet name="1.15" sheetId="14" r:id="rId15"/>
    <sheet name="1.16" sheetId="16" r:id="rId16"/>
    <sheet name="1.20" sheetId="17" r:id="rId17"/>
    <sheet name="1.21" sheetId="18" r:id="rId18"/>
    <sheet name="1.24" sheetId="20" r:id="rId19"/>
    <sheet name="1.25" sheetId="21" r:id="rId20"/>
    <sheet name="МАТЕР ВСЕГО" sheetId="22" r:id="rId21"/>
    <sheet name="МАТЕРИАЛЫ" sheetId="23" r:id="rId22"/>
    <sheet name="МАТ АВТО" sheetId="24" r:id="rId23"/>
    <sheet name="МАТ ЭЛ БЕЗ охрана труда" sheetId="25" r:id="rId24"/>
    <sheet name="СПЕЦ ЖИД" sheetId="27" r:id="rId25"/>
    <sheet name="ТОПЛИВО" sheetId="28" r:id="rId26"/>
    <sheet name="расчет ам" sheetId="31" r:id="rId27"/>
    <sheet name="расчет среднегодов стоим" sheetId="32" r:id="rId28"/>
    <sheet name="Кап.вложения" sheetId="52" r:id="rId29"/>
    <sheet name="мэс" sheetId="36" r:id="rId30"/>
    <sheet name="Смета расходов по годам" sheetId="40" r:id="rId31"/>
    <sheet name="план-факт 2016" sheetId="45" r:id="rId32"/>
    <sheet name="Сравнить НВВ" sheetId="46" r:id="rId33"/>
    <sheet name="детализация" sheetId="44" r:id="rId34"/>
    <sheet name="стоимость провоза" sheetId="50" r:id="rId35"/>
  </sheets>
  <externalReferences>
    <externalReference r:id="rId36"/>
  </externalReferences>
  <calcPr calcId="152511"/>
</workbook>
</file>

<file path=xl/calcChain.xml><?xml version="1.0" encoding="utf-8"?>
<calcChain xmlns="http://schemas.openxmlformats.org/spreadsheetml/2006/main">
  <c r="G53" i="14" l="1"/>
  <c r="F53" i="14"/>
  <c r="E53" i="14"/>
  <c r="C53" i="14"/>
  <c r="D53" i="14"/>
  <c r="G9" i="17"/>
  <c r="F9" i="17"/>
  <c r="E9" i="17"/>
  <c r="D9" i="17"/>
  <c r="C9" i="17"/>
  <c r="D40" i="18"/>
  <c r="F50" i="14" l="1"/>
  <c r="G50" i="14" s="1"/>
  <c r="E50" i="14"/>
  <c r="D50" i="14"/>
  <c r="G12" i="31" l="1"/>
  <c r="F12" i="31"/>
  <c r="E12" i="31"/>
  <c r="D12" i="31"/>
  <c r="C12" i="31"/>
  <c r="H31" i="32" l="1"/>
  <c r="D18" i="52"/>
  <c r="B16" i="52"/>
  <c r="B14" i="52"/>
  <c r="B11" i="52"/>
  <c r="B8" i="52"/>
  <c r="B4" i="52"/>
  <c r="H5" i="15" l="1"/>
  <c r="G5" i="15"/>
  <c r="F5" i="15"/>
  <c r="E5" i="15"/>
  <c r="D5" i="15"/>
  <c r="H30" i="15"/>
  <c r="G30" i="15"/>
  <c r="F30" i="15"/>
  <c r="E30" i="15"/>
  <c r="D30" i="15"/>
  <c r="H35" i="15"/>
  <c r="G35" i="15"/>
  <c r="F35" i="15"/>
  <c r="E35" i="15"/>
  <c r="D35" i="15"/>
  <c r="C35" i="15"/>
  <c r="E29" i="15"/>
  <c r="F29" i="15" s="1"/>
  <c r="G29" i="15" s="1"/>
  <c r="H29" i="15" s="1"/>
  <c r="E25" i="15"/>
  <c r="F25" i="15" s="1"/>
  <c r="G25" i="15" s="1"/>
  <c r="H25" i="15" s="1"/>
  <c r="E24" i="15"/>
  <c r="F24" i="15" s="1"/>
  <c r="G24" i="15" s="1"/>
  <c r="H24" i="15" s="1"/>
  <c r="E18" i="15"/>
  <c r="F18" i="15" s="1"/>
  <c r="G18" i="15" s="1"/>
  <c r="H18" i="15" s="1"/>
  <c r="E16" i="15"/>
  <c r="F16" i="15" s="1"/>
  <c r="G16" i="15" s="1"/>
  <c r="H16" i="15" s="1"/>
  <c r="E15" i="15"/>
  <c r="F15" i="15" s="1"/>
  <c r="G15" i="15" s="1"/>
  <c r="H15" i="15" s="1"/>
  <c r="F14" i="15"/>
  <c r="E14" i="15"/>
  <c r="D13" i="15"/>
  <c r="D11" i="15" s="1"/>
  <c r="D16" i="15"/>
  <c r="G32" i="18"/>
  <c r="G40" i="18" s="1"/>
  <c r="F32" i="18"/>
  <c r="E32" i="18"/>
  <c r="D32" i="18"/>
  <c r="C32" i="18"/>
  <c r="H53" i="15"/>
  <c r="G53" i="15"/>
  <c r="F53" i="15"/>
  <c r="F62" i="15" s="1"/>
  <c r="E53" i="15"/>
  <c r="D53" i="15"/>
  <c r="H48" i="15"/>
  <c r="G48" i="15"/>
  <c r="F48" i="15"/>
  <c r="E48" i="15"/>
  <c r="D48" i="15"/>
  <c r="H62" i="15"/>
  <c r="G62" i="15"/>
  <c r="E62" i="15"/>
  <c r="D62" i="15"/>
  <c r="C48" i="15"/>
  <c r="C62" i="15" s="1"/>
  <c r="C30" i="15"/>
  <c r="C24" i="15"/>
  <c r="C16" i="15"/>
  <c r="C6" i="15"/>
  <c r="C5" i="15" s="1"/>
  <c r="G7" i="17"/>
  <c r="F7" i="17"/>
  <c r="E7" i="17"/>
  <c r="D7" i="17"/>
  <c r="C7" i="17"/>
  <c r="H24" i="21"/>
  <c r="H25" i="21" s="1"/>
  <c r="G24" i="21"/>
  <c r="G25" i="21" s="1"/>
  <c r="F24" i="21"/>
  <c r="F25" i="21" s="1"/>
  <c r="E24" i="21"/>
  <c r="E25" i="21" s="1"/>
  <c r="F5" i="21"/>
  <c r="G5" i="21" s="1"/>
  <c r="H5" i="21" s="1"/>
  <c r="E5" i="21"/>
  <c r="D5" i="21"/>
  <c r="D24" i="21" s="1"/>
  <c r="H18" i="21"/>
  <c r="G18" i="21"/>
  <c r="F18" i="21"/>
  <c r="E18" i="21"/>
  <c r="D18" i="21"/>
  <c r="G24" i="18"/>
  <c r="F24" i="18"/>
  <c r="E24" i="18"/>
  <c r="D24" i="18"/>
  <c r="G12" i="18"/>
  <c r="F12" i="18"/>
  <c r="E12" i="18"/>
  <c r="D12" i="18"/>
  <c r="G7" i="18"/>
  <c r="F7" i="18"/>
  <c r="E7" i="18"/>
  <c r="E40" i="18" s="1"/>
  <c r="D7" i="18"/>
  <c r="G24" i="17"/>
  <c r="F24" i="17"/>
  <c r="E24" i="17"/>
  <c r="D24" i="17"/>
  <c r="G3" i="22"/>
  <c r="F3" i="22"/>
  <c r="E3" i="22"/>
  <c r="D3" i="22"/>
  <c r="C3" i="22"/>
  <c r="D10" i="22"/>
  <c r="E10" i="22" s="1"/>
  <c r="F10" i="22" s="1"/>
  <c r="G10" i="22" s="1"/>
  <c r="D9" i="22"/>
  <c r="E9" i="22"/>
  <c r="F9" i="22" s="1"/>
  <c r="G9" i="22" s="1"/>
  <c r="D30" i="14"/>
  <c r="E30" i="14" s="1"/>
  <c r="F30" i="14" s="1"/>
  <c r="G30" i="14" s="1"/>
  <c r="F40" i="18" l="1"/>
  <c r="F42" i="18" s="1"/>
  <c r="F41" i="18" s="1"/>
  <c r="F43" i="18" s="1"/>
  <c r="G12" i="20" s="1"/>
  <c r="E13" i="15"/>
  <c r="E11" i="15" s="1"/>
  <c r="F13" i="15"/>
  <c r="F11" i="15" s="1"/>
  <c r="G14" i="15"/>
  <c r="C13" i="15"/>
  <c r="C11" i="15" s="1"/>
  <c r="C40" i="15"/>
  <c r="C66" i="15" s="1"/>
  <c r="G42" i="18"/>
  <c r="G41" i="18" s="1"/>
  <c r="G43" i="18" s="1"/>
  <c r="H12" i="20" s="1"/>
  <c r="D42" i="18"/>
  <c r="D41" i="18" s="1"/>
  <c r="D43" i="18" s="1"/>
  <c r="E12" i="20" s="1"/>
  <c r="E42" i="18"/>
  <c r="E41" i="18" s="1"/>
  <c r="E43" i="18" s="1"/>
  <c r="F12" i="20" s="1"/>
  <c r="E20" i="12"/>
  <c r="E19" i="12"/>
  <c r="G21" i="14"/>
  <c r="G33" i="14" s="1"/>
  <c r="G37" i="14" s="1"/>
  <c r="G49" i="14" s="1"/>
  <c r="F21" i="14"/>
  <c r="F33" i="14" s="1"/>
  <c r="F37" i="14" s="1"/>
  <c r="F49" i="14" s="1"/>
  <c r="E21" i="14"/>
  <c r="E33" i="14" s="1"/>
  <c r="E37" i="14" s="1"/>
  <c r="E49" i="14" s="1"/>
  <c r="D21" i="14"/>
  <c r="D33" i="14" s="1"/>
  <c r="D37" i="14" s="1"/>
  <c r="D49" i="14" s="1"/>
  <c r="E10" i="14"/>
  <c r="F10" i="14" s="1"/>
  <c r="G10" i="14" s="1"/>
  <c r="D10" i="14"/>
  <c r="G14" i="22"/>
  <c r="F14" i="22"/>
  <c r="E14" i="22"/>
  <c r="D14" i="22"/>
  <c r="C14" i="22"/>
  <c r="B14" i="22"/>
  <c r="B8" i="22"/>
  <c r="G11" i="22"/>
  <c r="F11" i="22"/>
  <c r="E11" i="22"/>
  <c r="D11" i="22"/>
  <c r="C11" i="22"/>
  <c r="C6" i="22"/>
  <c r="D6" i="22" s="1"/>
  <c r="E6" i="22" s="1"/>
  <c r="F6" i="22" s="1"/>
  <c r="G6" i="22" s="1"/>
  <c r="D13" i="22"/>
  <c r="E13" i="22" s="1"/>
  <c r="F13" i="22" s="1"/>
  <c r="G13" i="22" s="1"/>
  <c r="D8" i="22"/>
  <c r="E8" i="22" s="1"/>
  <c r="F8" i="22" s="1"/>
  <c r="G8" i="22" s="1"/>
  <c r="D7" i="22"/>
  <c r="E7" i="22" s="1"/>
  <c r="F7" i="22" s="1"/>
  <c r="G7" i="22" s="1"/>
  <c r="D5" i="22"/>
  <c r="E5" i="22" s="1"/>
  <c r="F5" i="22" s="1"/>
  <c r="G5" i="22" s="1"/>
  <c r="D4" i="22"/>
  <c r="E4" i="22" s="1"/>
  <c r="F4" i="22" s="1"/>
  <c r="G4" i="22" s="1"/>
  <c r="E15" i="14"/>
  <c r="E13" i="14" s="1"/>
  <c r="E14" i="14"/>
  <c r="F14" i="14" s="1"/>
  <c r="D15" i="14"/>
  <c r="D14" i="14"/>
  <c r="D13" i="14"/>
  <c r="G18" i="14"/>
  <c r="F18" i="14"/>
  <c r="E18" i="14"/>
  <c r="D18" i="14"/>
  <c r="C18" i="14"/>
  <c r="E40" i="16"/>
  <c r="F40" i="16" s="1"/>
  <c r="G40" i="16" s="1"/>
  <c r="H40" i="16" s="1"/>
  <c r="F8" i="16"/>
  <c r="G8" i="16" s="1"/>
  <c r="E8" i="16"/>
  <c r="E14" i="16"/>
  <c r="E30" i="16" s="1"/>
  <c r="D14" i="16"/>
  <c r="H14" i="15" l="1"/>
  <c r="H13" i="15" s="1"/>
  <c r="H11" i="15" s="1"/>
  <c r="G13" i="15"/>
  <c r="G11" i="15" s="1"/>
  <c r="H6" i="20"/>
  <c r="H14" i="20" s="1"/>
  <c r="H26" i="20" s="1"/>
  <c r="E6" i="20"/>
  <c r="F6" i="20"/>
  <c r="F14" i="20" s="1"/>
  <c r="F26" i="20" s="1"/>
  <c r="G6" i="20"/>
  <c r="G13" i="20" s="1"/>
  <c r="G14" i="20"/>
  <c r="G26" i="20" s="1"/>
  <c r="E14" i="20"/>
  <c r="E26" i="20" s="1"/>
  <c r="E13" i="20"/>
  <c r="E21" i="16"/>
  <c r="F14" i="16"/>
  <c r="F27" i="16" s="1"/>
  <c r="G14" i="14"/>
  <c r="F15" i="14"/>
  <c r="G15" i="14" s="1"/>
  <c r="H8" i="16"/>
  <c r="H14" i="16" s="1"/>
  <c r="G14" i="16"/>
  <c r="F18" i="16"/>
  <c r="F21" i="16"/>
  <c r="F30" i="16"/>
  <c r="E24" i="16"/>
  <c r="G21" i="16"/>
  <c r="G27" i="16"/>
  <c r="H21" i="16"/>
  <c r="G18" i="16"/>
  <c r="G24" i="16"/>
  <c r="G30" i="16"/>
  <c r="F24" i="16"/>
  <c r="E27" i="16"/>
  <c r="E18" i="16"/>
  <c r="J276" i="5"/>
  <c r="J275" i="5"/>
  <c r="J274" i="5"/>
  <c r="J273" i="5"/>
  <c r="J277" i="5" s="1"/>
  <c r="J268" i="5"/>
  <c r="J267" i="5"/>
  <c r="J266" i="5"/>
  <c r="J265" i="5"/>
  <c r="J264" i="5"/>
  <c r="J263" i="5"/>
  <c r="L263" i="5" s="1"/>
  <c r="M263" i="5" s="1"/>
  <c r="J262" i="5"/>
  <c r="J261" i="5"/>
  <c r="J260" i="5"/>
  <c r="J259" i="5"/>
  <c r="J258" i="5"/>
  <c r="J257" i="5"/>
  <c r="J256" i="5"/>
  <c r="J255" i="5"/>
  <c r="L255" i="5" s="1"/>
  <c r="M255" i="5" s="1"/>
  <c r="J249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44" i="5" s="1"/>
  <c r="J227" i="5"/>
  <c r="J226" i="5"/>
  <c r="L226" i="5" s="1"/>
  <c r="M226" i="5" s="1"/>
  <c r="J225" i="5"/>
  <c r="J224" i="5"/>
  <c r="J223" i="5"/>
  <c r="J222" i="5"/>
  <c r="J221" i="5"/>
  <c r="J228" i="5" s="1"/>
  <c r="J220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L203" i="5" s="1"/>
  <c r="J202" i="5"/>
  <c r="J201" i="5"/>
  <c r="J200" i="5"/>
  <c r="H277" i="5"/>
  <c r="F277" i="5"/>
  <c r="L276" i="5"/>
  <c r="M276" i="5" s="1"/>
  <c r="K276" i="5"/>
  <c r="I276" i="5"/>
  <c r="K275" i="5"/>
  <c r="I275" i="5"/>
  <c r="L275" i="5" s="1"/>
  <c r="M275" i="5" s="1"/>
  <c r="I274" i="5"/>
  <c r="I273" i="5"/>
  <c r="I277" i="5" s="1"/>
  <c r="H269" i="5"/>
  <c r="F269" i="5"/>
  <c r="I268" i="5"/>
  <c r="K268" i="5" s="1"/>
  <c r="L267" i="5"/>
  <c r="M267" i="5" s="1"/>
  <c r="K267" i="5"/>
  <c r="I267" i="5"/>
  <c r="K266" i="5"/>
  <c r="I266" i="5"/>
  <c r="L266" i="5" s="1"/>
  <c r="M266" i="5" s="1"/>
  <c r="I265" i="5"/>
  <c r="I264" i="5"/>
  <c r="K264" i="5" s="1"/>
  <c r="K263" i="5"/>
  <c r="I263" i="5"/>
  <c r="K262" i="5"/>
  <c r="I262" i="5"/>
  <c r="L262" i="5" s="1"/>
  <c r="M262" i="5" s="1"/>
  <c r="I261" i="5"/>
  <c r="I260" i="5"/>
  <c r="K260" i="5" s="1"/>
  <c r="L259" i="5"/>
  <c r="M259" i="5" s="1"/>
  <c r="K259" i="5"/>
  <c r="I259" i="5"/>
  <c r="N259" i="5" s="1"/>
  <c r="O259" i="5" s="1"/>
  <c r="K258" i="5"/>
  <c r="I258" i="5"/>
  <c r="L258" i="5" s="1"/>
  <c r="M258" i="5" s="1"/>
  <c r="I257" i="5"/>
  <c r="I256" i="5"/>
  <c r="K256" i="5" s="1"/>
  <c r="K255" i="5"/>
  <c r="I255" i="5"/>
  <c r="H250" i="5"/>
  <c r="K249" i="5"/>
  <c r="K250" i="5" s="1"/>
  <c r="J250" i="5"/>
  <c r="I249" i="5"/>
  <c r="I250" i="5" s="1"/>
  <c r="H244" i="5"/>
  <c r="F244" i="5"/>
  <c r="K243" i="5"/>
  <c r="I243" i="5"/>
  <c r="L243" i="5" s="1"/>
  <c r="M243" i="5" s="1"/>
  <c r="K242" i="5"/>
  <c r="L242" i="5"/>
  <c r="L241" i="5"/>
  <c r="M241" i="5" s="1"/>
  <c r="K241" i="5"/>
  <c r="N241" i="5" s="1"/>
  <c r="O241" i="5" s="1"/>
  <c r="K240" i="5"/>
  <c r="L240" i="5"/>
  <c r="L239" i="5"/>
  <c r="M239" i="5" s="1"/>
  <c r="K239" i="5"/>
  <c r="I239" i="5"/>
  <c r="K238" i="5"/>
  <c r="N238" i="5" s="1"/>
  <c r="O238" i="5" s="1"/>
  <c r="I238" i="5"/>
  <c r="L238" i="5" s="1"/>
  <c r="M238" i="5" s="1"/>
  <c r="I237" i="5"/>
  <c r="I236" i="5"/>
  <c r="K236" i="5" s="1"/>
  <c r="L235" i="5"/>
  <c r="M235" i="5" s="1"/>
  <c r="K235" i="5"/>
  <c r="I235" i="5"/>
  <c r="K234" i="5"/>
  <c r="I234" i="5"/>
  <c r="L234" i="5" s="1"/>
  <c r="M234" i="5" s="1"/>
  <c r="I233" i="5"/>
  <c r="I232" i="5"/>
  <c r="K232" i="5" s="1"/>
  <c r="H228" i="5"/>
  <c r="F228" i="5"/>
  <c r="I227" i="5"/>
  <c r="K227" i="5" s="1"/>
  <c r="K226" i="5"/>
  <c r="I226" i="5"/>
  <c r="K225" i="5"/>
  <c r="I225" i="5"/>
  <c r="I224" i="5"/>
  <c r="I223" i="5"/>
  <c r="K223" i="5" s="1"/>
  <c r="L222" i="5"/>
  <c r="M222" i="5" s="1"/>
  <c r="K222" i="5"/>
  <c r="I222" i="5"/>
  <c r="K221" i="5"/>
  <c r="I221" i="5"/>
  <c r="L221" i="5" s="1"/>
  <c r="M221" i="5" s="1"/>
  <c r="I220" i="5"/>
  <c r="H216" i="5"/>
  <c r="F216" i="5"/>
  <c r="F278" i="5" s="1"/>
  <c r="I215" i="5"/>
  <c r="I214" i="5"/>
  <c r="K214" i="5" s="1"/>
  <c r="I213" i="5"/>
  <c r="K212" i="5"/>
  <c r="I212" i="5"/>
  <c r="I211" i="5"/>
  <c r="I210" i="5"/>
  <c r="K210" i="5" s="1"/>
  <c r="I209" i="5"/>
  <c r="K208" i="5"/>
  <c r="I208" i="5"/>
  <c r="L208" i="5" s="1"/>
  <c r="M208" i="5" s="1"/>
  <c r="I207" i="5"/>
  <c r="I206" i="5"/>
  <c r="K206" i="5" s="1"/>
  <c r="I205" i="5"/>
  <c r="K204" i="5"/>
  <c r="I204" i="5"/>
  <c r="K203" i="5"/>
  <c r="I203" i="5"/>
  <c r="I202" i="5"/>
  <c r="K202" i="5" s="1"/>
  <c r="I201" i="5"/>
  <c r="K200" i="5"/>
  <c r="J216" i="5"/>
  <c r="I200" i="5"/>
  <c r="I154" i="5"/>
  <c r="J154" i="5"/>
  <c r="J181" i="5"/>
  <c r="J180" i="5"/>
  <c r="J182" i="5" s="1"/>
  <c r="J179" i="5"/>
  <c r="J178" i="5"/>
  <c r="L178" i="5" s="1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48" i="5"/>
  <c r="J147" i="5"/>
  <c r="J146" i="5"/>
  <c r="L146" i="5" s="1"/>
  <c r="M146" i="5" s="1"/>
  <c r="J145" i="5"/>
  <c r="J144" i="5"/>
  <c r="J143" i="5"/>
  <c r="J142" i="5"/>
  <c r="J141" i="5"/>
  <c r="J140" i="5"/>
  <c r="J139" i="5"/>
  <c r="J138" i="5"/>
  <c r="J137" i="5"/>
  <c r="J132" i="5"/>
  <c r="J131" i="5"/>
  <c r="J130" i="5"/>
  <c r="L130" i="5" s="1"/>
  <c r="J129" i="5"/>
  <c r="J128" i="5"/>
  <c r="J127" i="5"/>
  <c r="J126" i="5"/>
  <c r="L126" i="5" s="1"/>
  <c r="J125" i="5"/>
  <c r="J120" i="5"/>
  <c r="J119" i="5"/>
  <c r="J118" i="5"/>
  <c r="J117" i="5"/>
  <c r="L117" i="5" s="1"/>
  <c r="M117" i="5" s="1"/>
  <c r="J116" i="5"/>
  <c r="J115" i="5"/>
  <c r="J114" i="5"/>
  <c r="J113" i="5"/>
  <c r="J112" i="5"/>
  <c r="J111" i="5"/>
  <c r="J110" i="5"/>
  <c r="J109" i="5"/>
  <c r="J108" i="5"/>
  <c r="J107" i="5"/>
  <c r="J106" i="5"/>
  <c r="J121" i="5" s="1"/>
  <c r="J105" i="5"/>
  <c r="H182" i="5"/>
  <c r="F182" i="5"/>
  <c r="K181" i="5"/>
  <c r="I181" i="5"/>
  <c r="I180" i="5"/>
  <c r="K180" i="5" s="1"/>
  <c r="I179" i="5"/>
  <c r="K178" i="5"/>
  <c r="I178" i="5"/>
  <c r="I182" i="5" s="1"/>
  <c r="H174" i="5"/>
  <c r="F174" i="5"/>
  <c r="L173" i="5"/>
  <c r="K173" i="5"/>
  <c r="I173" i="5"/>
  <c r="K172" i="5"/>
  <c r="I172" i="5"/>
  <c r="L171" i="5"/>
  <c r="M171" i="5" s="1"/>
  <c r="I171" i="5"/>
  <c r="K171" i="5" s="1"/>
  <c r="I170" i="5"/>
  <c r="K169" i="5"/>
  <c r="L169" i="5"/>
  <c r="I169" i="5"/>
  <c r="K168" i="5"/>
  <c r="I168" i="5"/>
  <c r="L167" i="5"/>
  <c r="M167" i="5" s="1"/>
  <c r="I167" i="5"/>
  <c r="K167" i="5" s="1"/>
  <c r="I166" i="5"/>
  <c r="K165" i="5"/>
  <c r="L165" i="5"/>
  <c r="I165" i="5"/>
  <c r="K164" i="5"/>
  <c r="I164" i="5"/>
  <c r="L163" i="5"/>
  <c r="I163" i="5"/>
  <c r="K163" i="5" s="1"/>
  <c r="K162" i="5"/>
  <c r="I162" i="5"/>
  <c r="L161" i="5"/>
  <c r="M161" i="5" s="1"/>
  <c r="K161" i="5"/>
  <c r="I161" i="5"/>
  <c r="I160" i="5"/>
  <c r="H155" i="5"/>
  <c r="J155" i="5"/>
  <c r="H149" i="5"/>
  <c r="F149" i="5"/>
  <c r="L148" i="5"/>
  <c r="M148" i="5" s="1"/>
  <c r="I148" i="5"/>
  <c r="K148" i="5" s="1"/>
  <c r="K147" i="5"/>
  <c r="K146" i="5"/>
  <c r="K145" i="5"/>
  <c r="I144" i="5"/>
  <c r="I143" i="5"/>
  <c r="K143" i="5" s="1"/>
  <c r="I142" i="5"/>
  <c r="I141" i="5"/>
  <c r="K141" i="5" s="1"/>
  <c r="K140" i="5"/>
  <c r="I140" i="5"/>
  <c r="I139" i="5"/>
  <c r="K139" i="5" s="1"/>
  <c r="I138" i="5"/>
  <c r="I137" i="5"/>
  <c r="K137" i="5" s="1"/>
  <c r="H133" i="5"/>
  <c r="F133" i="5"/>
  <c r="F183" i="5" s="1"/>
  <c r="L132" i="5"/>
  <c r="M132" i="5" s="1"/>
  <c r="I132" i="5"/>
  <c r="K132" i="5" s="1"/>
  <c r="I131" i="5"/>
  <c r="I130" i="5"/>
  <c r="K130" i="5" s="1"/>
  <c r="I129" i="5"/>
  <c r="I128" i="5"/>
  <c r="K128" i="5" s="1"/>
  <c r="K127" i="5"/>
  <c r="I127" i="5"/>
  <c r="I126" i="5"/>
  <c r="K126" i="5" s="1"/>
  <c r="K125" i="5"/>
  <c r="I125" i="5"/>
  <c r="H121" i="5"/>
  <c r="F121" i="5"/>
  <c r="I120" i="5"/>
  <c r="K119" i="5"/>
  <c r="L119" i="5"/>
  <c r="I119" i="5"/>
  <c r="K118" i="5"/>
  <c r="I118" i="5"/>
  <c r="I117" i="5"/>
  <c r="K117" i="5" s="1"/>
  <c r="I116" i="5"/>
  <c r="I115" i="5"/>
  <c r="K115" i="5" s="1"/>
  <c r="L115" i="5" s="1"/>
  <c r="I114" i="5"/>
  <c r="K114" i="5" s="1"/>
  <c r="I113" i="5"/>
  <c r="K113" i="5" s="1"/>
  <c r="I112" i="5"/>
  <c r="K112" i="5" s="1"/>
  <c r="I111" i="5"/>
  <c r="K111" i="5" s="1"/>
  <c r="I110" i="5"/>
  <c r="I109" i="5"/>
  <c r="K109" i="5" s="1"/>
  <c r="I108" i="5"/>
  <c r="I107" i="5"/>
  <c r="K107" i="5" s="1"/>
  <c r="K106" i="5"/>
  <c r="I106" i="5"/>
  <c r="I105" i="5"/>
  <c r="D8" i="45"/>
  <c r="D11" i="45"/>
  <c r="D26" i="45"/>
  <c r="D19" i="45" s="1"/>
  <c r="D60" i="45"/>
  <c r="D61" i="45"/>
  <c r="D64" i="45"/>
  <c r="D68" i="45"/>
  <c r="D86" i="45"/>
  <c r="D100" i="45"/>
  <c r="D105" i="45" s="1"/>
  <c r="D126" i="45"/>
  <c r="D135" i="45"/>
  <c r="D146" i="45" s="1"/>
  <c r="G26" i="14"/>
  <c r="F26" i="14"/>
  <c r="E26" i="14"/>
  <c r="D26" i="14"/>
  <c r="O60" i="5"/>
  <c r="N60" i="5"/>
  <c r="M60" i="5"/>
  <c r="L60" i="5"/>
  <c r="K60" i="5"/>
  <c r="J60" i="5"/>
  <c r="I60" i="5"/>
  <c r="H60" i="5"/>
  <c r="H54" i="5"/>
  <c r="J59" i="5"/>
  <c r="I59" i="5"/>
  <c r="K59" i="5" s="1"/>
  <c r="J45" i="5"/>
  <c r="I45" i="5"/>
  <c r="K45" i="5" s="1"/>
  <c r="K51" i="5"/>
  <c r="J51" i="5"/>
  <c r="H87" i="5"/>
  <c r="H79" i="5"/>
  <c r="H38" i="5"/>
  <c r="H26" i="5"/>
  <c r="J77" i="5"/>
  <c r="I77" i="5"/>
  <c r="K77" i="5" s="1"/>
  <c r="F38" i="5"/>
  <c r="J35" i="5"/>
  <c r="I35" i="5"/>
  <c r="K35" i="5" s="1"/>
  <c r="J34" i="5"/>
  <c r="I34" i="5"/>
  <c r="K34" i="5" s="1"/>
  <c r="J33" i="5"/>
  <c r="I33" i="5"/>
  <c r="J32" i="5"/>
  <c r="I32" i="5"/>
  <c r="K32" i="5" s="1"/>
  <c r="J24" i="5"/>
  <c r="I24" i="5"/>
  <c r="F82" i="1"/>
  <c r="L70" i="1"/>
  <c r="G71" i="1"/>
  <c r="L47" i="1"/>
  <c r="F13" i="20" l="1"/>
  <c r="H13" i="20"/>
  <c r="D89" i="45"/>
  <c r="D34" i="45"/>
  <c r="G13" i="14"/>
  <c r="F13" i="14"/>
  <c r="F36" i="16"/>
  <c r="H24" i="16"/>
  <c r="H18" i="16"/>
  <c r="H30" i="16"/>
  <c r="F37" i="16"/>
  <c r="F42" i="16" s="1"/>
  <c r="F43" i="16" s="1"/>
  <c r="G36" i="16"/>
  <c r="G37" i="16" s="1"/>
  <c r="G42" i="16" s="1"/>
  <c r="G43" i="16" s="1"/>
  <c r="H27" i="16"/>
  <c r="E36" i="16"/>
  <c r="E37" i="16" s="1"/>
  <c r="E42" i="16" s="1"/>
  <c r="E43" i="16" s="1"/>
  <c r="N275" i="5"/>
  <c r="O275" i="5" s="1"/>
  <c r="J269" i="5"/>
  <c r="N266" i="5"/>
  <c r="O266" i="5" s="1"/>
  <c r="N234" i="5"/>
  <c r="O234" i="5" s="1"/>
  <c r="L225" i="5"/>
  <c r="M225" i="5" s="1"/>
  <c r="N222" i="5"/>
  <c r="O222" i="5" s="1"/>
  <c r="L212" i="5"/>
  <c r="M212" i="5" s="1"/>
  <c r="L204" i="5"/>
  <c r="M204" i="5" s="1"/>
  <c r="N239" i="5"/>
  <c r="O239" i="5" s="1"/>
  <c r="N255" i="5"/>
  <c r="M242" i="5"/>
  <c r="N242" i="5" s="1"/>
  <c r="O242" i="5" s="1"/>
  <c r="L261" i="5"/>
  <c r="M261" i="5" s="1"/>
  <c r="N262" i="5"/>
  <c r="O262" i="5" s="1"/>
  <c r="N267" i="5"/>
  <c r="O267" i="5" s="1"/>
  <c r="N221" i="5"/>
  <c r="O221" i="5" s="1"/>
  <c r="N226" i="5"/>
  <c r="O226" i="5" s="1"/>
  <c r="N258" i="5"/>
  <c r="O258" i="5" s="1"/>
  <c r="N263" i="5"/>
  <c r="O263" i="5" s="1"/>
  <c r="L233" i="5"/>
  <c r="M233" i="5" s="1"/>
  <c r="M203" i="5"/>
  <c r="N203" i="5" s="1"/>
  <c r="O203" i="5" s="1"/>
  <c r="L207" i="5"/>
  <c r="M207" i="5" s="1"/>
  <c r="M240" i="5"/>
  <c r="N240" i="5" s="1"/>
  <c r="O240" i="5" s="1"/>
  <c r="N276" i="5"/>
  <c r="O276" i="5" s="1"/>
  <c r="L211" i="5"/>
  <c r="M211" i="5" s="1"/>
  <c r="N225" i="5"/>
  <c r="O225" i="5" s="1"/>
  <c r="N235" i="5"/>
  <c r="O235" i="5" s="1"/>
  <c r="N243" i="5"/>
  <c r="O243" i="5" s="1"/>
  <c r="K201" i="5"/>
  <c r="L201" i="5" s="1"/>
  <c r="M201" i="5" s="1"/>
  <c r="L202" i="5"/>
  <c r="M202" i="5" s="1"/>
  <c r="N202" i="5" s="1"/>
  <c r="O202" i="5" s="1"/>
  <c r="N204" i="5"/>
  <c r="O204" i="5" s="1"/>
  <c r="K205" i="5"/>
  <c r="L205" i="5" s="1"/>
  <c r="M205" i="5" s="1"/>
  <c r="L206" i="5"/>
  <c r="M206" i="5" s="1"/>
  <c r="N208" i="5"/>
  <c r="O208" i="5" s="1"/>
  <c r="K209" i="5"/>
  <c r="L209" i="5" s="1"/>
  <c r="M209" i="5" s="1"/>
  <c r="L210" i="5"/>
  <c r="M210" i="5" s="1"/>
  <c r="N212" i="5"/>
  <c r="O212" i="5" s="1"/>
  <c r="K213" i="5"/>
  <c r="L213" i="5" s="1"/>
  <c r="M213" i="5" s="1"/>
  <c r="L214" i="5"/>
  <c r="M214" i="5" s="1"/>
  <c r="L223" i="5"/>
  <c r="M223" i="5" s="1"/>
  <c r="L227" i="5"/>
  <c r="M227" i="5" s="1"/>
  <c r="L232" i="5"/>
  <c r="L236" i="5"/>
  <c r="M236" i="5" s="1"/>
  <c r="I244" i="5"/>
  <c r="L256" i="5"/>
  <c r="M256" i="5" s="1"/>
  <c r="L260" i="5"/>
  <c r="M260" i="5" s="1"/>
  <c r="L264" i="5"/>
  <c r="M264" i="5" s="1"/>
  <c r="L268" i="5"/>
  <c r="M268" i="5" s="1"/>
  <c r="I216" i="5"/>
  <c r="L200" i="5"/>
  <c r="K207" i="5"/>
  <c r="N210" i="5"/>
  <c r="O210" i="5" s="1"/>
  <c r="K211" i="5"/>
  <c r="N214" i="5"/>
  <c r="O214" i="5" s="1"/>
  <c r="K215" i="5"/>
  <c r="K220" i="5"/>
  <c r="L220" i="5" s="1"/>
  <c r="K224" i="5"/>
  <c r="I228" i="5"/>
  <c r="K233" i="5"/>
  <c r="N236" i="5"/>
  <c r="O236" i="5" s="1"/>
  <c r="K237" i="5"/>
  <c r="L237" i="5" s="1"/>
  <c r="M237" i="5" s="1"/>
  <c r="L249" i="5"/>
  <c r="N256" i="5"/>
  <c r="O256" i="5" s="1"/>
  <c r="K257" i="5"/>
  <c r="K261" i="5"/>
  <c r="K265" i="5"/>
  <c r="N268" i="5"/>
  <c r="O268" i="5" s="1"/>
  <c r="I269" i="5"/>
  <c r="K274" i="5"/>
  <c r="L274" i="5" s="1"/>
  <c r="M274" i="5" s="1"/>
  <c r="K273" i="5"/>
  <c r="K277" i="5" s="1"/>
  <c r="L45" i="5"/>
  <c r="M45" i="5" s="1"/>
  <c r="L141" i="5"/>
  <c r="L154" i="5"/>
  <c r="M154" i="5" s="1"/>
  <c r="I155" i="5"/>
  <c r="K154" i="5"/>
  <c r="L111" i="5"/>
  <c r="M111" i="5" s="1"/>
  <c r="L109" i="5"/>
  <c r="L113" i="5"/>
  <c r="M113" i="5" s="1"/>
  <c r="N113" i="5" s="1"/>
  <c r="O113" i="5" s="1"/>
  <c r="L139" i="5"/>
  <c r="M139" i="5" s="1"/>
  <c r="L143" i="5"/>
  <c r="L180" i="5"/>
  <c r="M180" i="5" s="1"/>
  <c r="N167" i="5"/>
  <c r="O167" i="5" s="1"/>
  <c r="N171" i="5"/>
  <c r="O171" i="5" s="1"/>
  <c r="N148" i="5"/>
  <c r="O148" i="5" s="1"/>
  <c r="N132" i="5"/>
  <c r="O132" i="5" s="1"/>
  <c r="N117" i="5"/>
  <c r="O117" i="5" s="1"/>
  <c r="M143" i="5"/>
  <c r="N143" i="5"/>
  <c r="O143" i="5" s="1"/>
  <c r="M163" i="5"/>
  <c r="N163" i="5" s="1"/>
  <c r="O163" i="5" s="1"/>
  <c r="M169" i="5"/>
  <c r="N169" i="5"/>
  <c r="O169" i="5" s="1"/>
  <c r="M115" i="5"/>
  <c r="N115" i="5" s="1"/>
  <c r="O115" i="5" s="1"/>
  <c r="M165" i="5"/>
  <c r="N165" i="5" s="1"/>
  <c r="O165" i="5" s="1"/>
  <c r="M119" i="5"/>
  <c r="N119" i="5" s="1"/>
  <c r="O119" i="5" s="1"/>
  <c r="M109" i="5"/>
  <c r="M126" i="5"/>
  <c r="N126" i="5" s="1"/>
  <c r="O126" i="5" s="1"/>
  <c r="M130" i="5"/>
  <c r="N130" i="5" s="1"/>
  <c r="O130" i="5" s="1"/>
  <c r="M141" i="5"/>
  <c r="N141" i="5" s="1"/>
  <c r="O141" i="5" s="1"/>
  <c r="I133" i="5"/>
  <c r="I149" i="5"/>
  <c r="I174" i="5"/>
  <c r="L105" i="5"/>
  <c r="L131" i="5"/>
  <c r="M131" i="5" s="1"/>
  <c r="J149" i="5"/>
  <c r="J174" i="5"/>
  <c r="N161" i="5"/>
  <c r="O161" i="5" s="1"/>
  <c r="N180" i="5"/>
  <c r="O180" i="5" s="1"/>
  <c r="L107" i="5"/>
  <c r="M107" i="5" s="1"/>
  <c r="K108" i="5"/>
  <c r="L112" i="5"/>
  <c r="M112" i="5" s="1"/>
  <c r="L118" i="5"/>
  <c r="M118" i="5" s="1"/>
  <c r="K120" i="5"/>
  <c r="L125" i="5"/>
  <c r="L128" i="5"/>
  <c r="M128" i="5" s="1"/>
  <c r="K129" i="5"/>
  <c r="L129" i="5" s="1"/>
  <c r="M129" i="5" s="1"/>
  <c r="L140" i="5"/>
  <c r="M140" i="5" s="1"/>
  <c r="K142" i="5"/>
  <c r="L142" i="5" s="1"/>
  <c r="K160" i="5"/>
  <c r="L162" i="5"/>
  <c r="M162" i="5" s="1"/>
  <c r="L168" i="5"/>
  <c r="M168" i="5" s="1"/>
  <c r="K170" i="5"/>
  <c r="L170" i="5" s="1"/>
  <c r="I121" i="5"/>
  <c r="L106" i="5"/>
  <c r="M106" i="5" s="1"/>
  <c r="K110" i="5"/>
  <c r="L114" i="5"/>
  <c r="M114" i="5" s="1"/>
  <c r="K116" i="5"/>
  <c r="L116" i="5" s="1"/>
  <c r="J133" i="5"/>
  <c r="L127" i="5"/>
  <c r="M127" i="5" s="1"/>
  <c r="K131" i="5"/>
  <c r="L137" i="5"/>
  <c r="K138" i="5"/>
  <c r="K144" i="5"/>
  <c r="L144" i="5" s="1"/>
  <c r="M144" i="5" s="1"/>
  <c r="L145" i="5"/>
  <c r="M145" i="5" s="1"/>
  <c r="N146" i="5"/>
  <c r="O146" i="5" s="1"/>
  <c r="L147" i="5"/>
  <c r="M147" i="5" s="1"/>
  <c r="L164" i="5"/>
  <c r="M164" i="5" s="1"/>
  <c r="K166" i="5"/>
  <c r="M173" i="5"/>
  <c r="N173" i="5" s="1"/>
  <c r="O173" i="5" s="1"/>
  <c r="K105" i="5"/>
  <c r="L172" i="5"/>
  <c r="M172" i="5" s="1"/>
  <c r="M178" i="5"/>
  <c r="L181" i="5"/>
  <c r="M181" i="5" s="1"/>
  <c r="K179" i="5"/>
  <c r="L179" i="5" s="1"/>
  <c r="L59" i="5"/>
  <c r="L32" i="5"/>
  <c r="M32" i="5" s="1"/>
  <c r="L51" i="5"/>
  <c r="M51" i="5" s="1"/>
  <c r="L77" i="5"/>
  <c r="M77" i="5" s="1"/>
  <c r="L35" i="5"/>
  <c r="M35" i="5" s="1"/>
  <c r="L34" i="5"/>
  <c r="M34" i="5" s="1"/>
  <c r="K33" i="5"/>
  <c r="L33" i="5" s="1"/>
  <c r="K24" i="5"/>
  <c r="C13" i="14"/>
  <c r="D21" i="38"/>
  <c r="C12" i="18"/>
  <c r="E52" i="36"/>
  <c r="E51" i="36"/>
  <c r="E50" i="36"/>
  <c r="D38" i="45" l="1"/>
  <c r="H36" i="16"/>
  <c r="H37" i="16" s="1"/>
  <c r="H42" i="16" s="1"/>
  <c r="H43" i="16" s="1"/>
  <c r="N260" i="5"/>
  <c r="O260" i="5" s="1"/>
  <c r="N213" i="5"/>
  <c r="O213" i="5" s="1"/>
  <c r="N205" i="5"/>
  <c r="O205" i="5" s="1"/>
  <c r="N209" i="5"/>
  <c r="O209" i="5" s="1"/>
  <c r="M220" i="5"/>
  <c r="N265" i="5"/>
  <c r="O265" i="5" s="1"/>
  <c r="N207" i="5"/>
  <c r="O207" i="5" s="1"/>
  <c r="L257" i="5"/>
  <c r="N201" i="5"/>
  <c r="O201" i="5" s="1"/>
  <c r="K216" i="5"/>
  <c r="N264" i="5"/>
  <c r="O264" i="5" s="1"/>
  <c r="N233" i="5"/>
  <c r="O233" i="5" s="1"/>
  <c r="N206" i="5"/>
  <c r="O206" i="5" s="1"/>
  <c r="K269" i="5"/>
  <c r="O255" i="5"/>
  <c r="N261" i="5"/>
  <c r="O261" i="5" s="1"/>
  <c r="M249" i="5"/>
  <c r="L250" i="5"/>
  <c r="N223" i="5"/>
  <c r="O223" i="5" s="1"/>
  <c r="N211" i="5"/>
  <c r="O211" i="5" s="1"/>
  <c r="L273" i="5"/>
  <c r="L244" i="5"/>
  <c r="M232" i="5"/>
  <c r="L265" i="5"/>
  <c r="M265" i="5" s="1"/>
  <c r="K244" i="5"/>
  <c r="L215" i="5"/>
  <c r="M215" i="5" s="1"/>
  <c r="L224" i="5"/>
  <c r="M224" i="5" s="1"/>
  <c r="N237" i="5"/>
  <c r="O237" i="5" s="1"/>
  <c r="K228" i="5"/>
  <c r="N227" i="5"/>
  <c r="O227" i="5" s="1"/>
  <c r="M200" i="5"/>
  <c r="N274" i="5"/>
  <c r="O274" i="5" s="1"/>
  <c r="N45" i="5"/>
  <c r="O45" i="5" s="1"/>
  <c r="N109" i="5"/>
  <c r="O109" i="5" s="1"/>
  <c r="N145" i="5"/>
  <c r="O145" i="5" s="1"/>
  <c r="N139" i="5"/>
  <c r="O139" i="5" s="1"/>
  <c r="N154" i="5"/>
  <c r="O154" i="5" s="1"/>
  <c r="N32" i="5"/>
  <c r="O32" i="5" s="1"/>
  <c r="N131" i="5"/>
  <c r="O131" i="5" s="1"/>
  <c r="L108" i="5"/>
  <c r="M108" i="5" s="1"/>
  <c r="L138" i="5"/>
  <c r="M138" i="5" s="1"/>
  <c r="N111" i="5"/>
  <c r="O111" i="5" s="1"/>
  <c r="N181" i="5"/>
  <c r="O181" i="5" s="1"/>
  <c r="N164" i="5"/>
  <c r="O164" i="5" s="1"/>
  <c r="N162" i="5"/>
  <c r="O162" i="5" s="1"/>
  <c r="N118" i="5"/>
  <c r="O118" i="5" s="1"/>
  <c r="N106" i="5"/>
  <c r="O106" i="5" s="1"/>
  <c r="M170" i="5"/>
  <c r="N170" i="5" s="1"/>
  <c r="O170" i="5" s="1"/>
  <c r="M179" i="5"/>
  <c r="L182" i="5"/>
  <c r="M142" i="5"/>
  <c r="N142" i="5" s="1"/>
  <c r="O142" i="5" s="1"/>
  <c r="M116" i="5"/>
  <c r="N116" i="5" s="1"/>
  <c r="O116" i="5" s="1"/>
  <c r="M182" i="5"/>
  <c r="K155" i="5"/>
  <c r="M137" i="5"/>
  <c r="L166" i="5"/>
  <c r="M166" i="5" s="1"/>
  <c r="N144" i="5"/>
  <c r="O144" i="5" s="1"/>
  <c r="L110" i="5"/>
  <c r="M110" i="5" s="1"/>
  <c r="L120" i="5"/>
  <c r="M120" i="5" s="1"/>
  <c r="K133" i="5"/>
  <c r="N179" i="5"/>
  <c r="O179" i="5" s="1"/>
  <c r="K121" i="5"/>
  <c r="N147" i="5"/>
  <c r="O147" i="5" s="1"/>
  <c r="N140" i="5"/>
  <c r="O140" i="5" s="1"/>
  <c r="L133" i="5"/>
  <c r="M125" i="5"/>
  <c r="N112" i="5"/>
  <c r="O112" i="5" s="1"/>
  <c r="N129" i="5"/>
  <c r="O129" i="5" s="1"/>
  <c r="N107" i="5"/>
  <c r="O107" i="5" s="1"/>
  <c r="K174" i="5"/>
  <c r="K182" i="5"/>
  <c r="M105" i="5"/>
  <c r="N105" i="5" s="1"/>
  <c r="L160" i="5"/>
  <c r="N178" i="5"/>
  <c r="K149" i="5"/>
  <c r="N127" i="5"/>
  <c r="O127" i="5" s="1"/>
  <c r="N114" i="5"/>
  <c r="O114" i="5" s="1"/>
  <c r="N168" i="5"/>
  <c r="O168" i="5" s="1"/>
  <c r="N172" i="5"/>
  <c r="O172" i="5" s="1"/>
  <c r="N128" i="5"/>
  <c r="O128" i="5" s="1"/>
  <c r="M59" i="5"/>
  <c r="N51" i="5"/>
  <c r="O51" i="5" s="1"/>
  <c r="N77" i="5"/>
  <c r="O77" i="5" s="1"/>
  <c r="N35" i="5"/>
  <c r="O35" i="5" s="1"/>
  <c r="L24" i="5"/>
  <c r="M24" i="5" s="1"/>
  <c r="N34" i="5"/>
  <c r="O34" i="5" s="1"/>
  <c r="M33" i="5"/>
  <c r="N33" i="5" s="1"/>
  <c r="O33" i="5" s="1"/>
  <c r="E45" i="36"/>
  <c r="G45" i="36" s="1"/>
  <c r="E44" i="36"/>
  <c r="G44" i="36" s="1"/>
  <c r="E43" i="36"/>
  <c r="G43" i="36" s="1"/>
  <c r="E42" i="36"/>
  <c r="G42" i="36" s="1"/>
  <c r="E41" i="36"/>
  <c r="G41" i="36" s="1"/>
  <c r="D50" i="45" l="1"/>
  <c r="N215" i="5"/>
  <c r="O215" i="5" s="1"/>
  <c r="M244" i="5"/>
  <c r="N232" i="5"/>
  <c r="M228" i="5"/>
  <c r="L216" i="5"/>
  <c r="N220" i="5"/>
  <c r="L277" i="5"/>
  <c r="M273" i="5"/>
  <c r="M277" i="5" s="1"/>
  <c r="M250" i="5"/>
  <c r="N249" i="5"/>
  <c r="M257" i="5"/>
  <c r="L269" i="5"/>
  <c r="M216" i="5"/>
  <c r="N200" i="5"/>
  <c r="N224" i="5"/>
  <c r="O224" i="5" s="1"/>
  <c r="L228" i="5"/>
  <c r="L149" i="5"/>
  <c r="N138" i="5"/>
  <c r="O138" i="5" s="1"/>
  <c r="N108" i="5"/>
  <c r="O108" i="5" s="1"/>
  <c r="M149" i="5"/>
  <c r="N120" i="5"/>
  <c r="O120" i="5" s="1"/>
  <c r="L121" i="5"/>
  <c r="O105" i="5"/>
  <c r="O178" i="5"/>
  <c r="O182" i="5" s="1"/>
  <c r="N182" i="5"/>
  <c r="M155" i="5"/>
  <c r="L155" i="5"/>
  <c r="L174" i="5"/>
  <c r="M160" i="5"/>
  <c r="M133" i="5"/>
  <c r="N125" i="5"/>
  <c r="N137" i="5"/>
  <c r="N166" i="5"/>
  <c r="O166" i="5" s="1"/>
  <c r="M121" i="5"/>
  <c r="N110" i="5"/>
  <c r="O110" i="5" s="1"/>
  <c r="N59" i="5"/>
  <c r="N24" i="5"/>
  <c r="O24" i="5" s="1"/>
  <c r="B13" i="50"/>
  <c r="B14" i="44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L53" i="1"/>
  <c r="N273" i="5" l="1"/>
  <c r="O273" i="5"/>
  <c r="O277" i="5" s="1"/>
  <c r="N277" i="5"/>
  <c r="O249" i="5"/>
  <c r="O250" i="5" s="1"/>
  <c r="N250" i="5"/>
  <c r="N228" i="5"/>
  <c r="O220" i="5"/>
  <c r="O228" i="5" s="1"/>
  <c r="O232" i="5"/>
  <c r="O244" i="5" s="1"/>
  <c r="N244" i="5"/>
  <c r="N216" i="5"/>
  <c r="O200" i="5"/>
  <c r="O216" i="5" s="1"/>
  <c r="M269" i="5"/>
  <c r="N257" i="5"/>
  <c r="N121" i="5"/>
  <c r="N155" i="5"/>
  <c r="M174" i="5"/>
  <c r="N160" i="5"/>
  <c r="O137" i="5"/>
  <c r="O149" i="5" s="1"/>
  <c r="N149" i="5"/>
  <c r="N133" i="5"/>
  <c r="O125" i="5"/>
  <c r="O133" i="5" s="1"/>
  <c r="O121" i="5"/>
  <c r="O59" i="5"/>
  <c r="L33" i="1"/>
  <c r="L27" i="1"/>
  <c r="L29" i="1"/>
  <c r="L31" i="1"/>
  <c r="L32" i="1"/>
  <c r="L67" i="1"/>
  <c r="G35" i="1"/>
  <c r="G24" i="1"/>
  <c r="L23" i="1"/>
  <c r="E27" i="2"/>
  <c r="O257" i="5" l="1"/>
  <c r="O269" i="5" s="1"/>
  <c r="O278" i="5" s="1"/>
  <c r="N269" i="5"/>
  <c r="O155" i="5"/>
  <c r="N174" i="5"/>
  <c r="O160" i="5"/>
  <c r="O174" i="5" s="1"/>
  <c r="J86" i="5"/>
  <c r="J85" i="5"/>
  <c r="J84" i="5"/>
  <c r="J83" i="5"/>
  <c r="J78" i="5"/>
  <c r="J76" i="5"/>
  <c r="J75" i="5"/>
  <c r="J74" i="5"/>
  <c r="J73" i="5"/>
  <c r="J72" i="5"/>
  <c r="J71" i="5"/>
  <c r="J70" i="5"/>
  <c r="J69" i="5"/>
  <c r="J68" i="5"/>
  <c r="J67" i="5"/>
  <c r="J66" i="5"/>
  <c r="J65" i="5"/>
  <c r="J53" i="5"/>
  <c r="J52" i="5"/>
  <c r="J50" i="5"/>
  <c r="J49" i="5"/>
  <c r="J48" i="5"/>
  <c r="J47" i="5"/>
  <c r="J46" i="5"/>
  <c r="J44" i="5"/>
  <c r="J43" i="5"/>
  <c r="J42" i="5"/>
  <c r="J37" i="5"/>
  <c r="J36" i="5"/>
  <c r="J31" i="5"/>
  <c r="J30" i="5"/>
  <c r="J25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E49" i="11"/>
  <c r="E34" i="11"/>
  <c r="G7" i="11"/>
  <c r="J54" i="5" l="1"/>
  <c r="O183" i="5"/>
  <c r="J26" i="5"/>
  <c r="J79" i="5"/>
  <c r="J38" i="5"/>
  <c r="J87" i="5"/>
  <c r="E14" i="45"/>
  <c r="E26" i="45"/>
  <c r="E19" i="45" s="1"/>
  <c r="E11" i="45"/>
  <c r="E8" i="45"/>
  <c r="E16" i="45"/>
  <c r="E6" i="45"/>
  <c r="E34" i="45" l="1"/>
  <c r="E38" i="45" s="1"/>
  <c r="E50" i="45" s="1"/>
  <c r="E99" i="25"/>
  <c r="E100" i="25" s="1"/>
  <c r="E101" i="25" s="1"/>
  <c r="E102" i="25" s="1"/>
  <c r="G80" i="25"/>
  <c r="I80" i="25" s="1"/>
  <c r="F80" i="25"/>
  <c r="G79" i="25"/>
  <c r="I79" i="25" s="1"/>
  <c r="F79" i="25"/>
  <c r="G78" i="25"/>
  <c r="I78" i="25" s="1"/>
  <c r="F78" i="25"/>
  <c r="G77" i="25"/>
  <c r="I77" i="25" s="1"/>
  <c r="F77" i="25"/>
  <c r="G76" i="25"/>
  <c r="I76" i="25" s="1"/>
  <c r="G75" i="25"/>
  <c r="I75" i="25" s="1"/>
  <c r="F75" i="25"/>
  <c r="G74" i="25"/>
  <c r="I74" i="25" s="1"/>
  <c r="F74" i="25"/>
  <c r="G73" i="25"/>
  <c r="I73" i="25" s="1"/>
  <c r="G72" i="25"/>
  <c r="I72" i="25" s="1"/>
  <c r="G71" i="25"/>
  <c r="I71" i="25" s="1"/>
  <c r="G70" i="25"/>
  <c r="I70" i="25" s="1"/>
  <c r="F70" i="25"/>
  <c r="G69" i="25"/>
  <c r="I69" i="25" s="1"/>
  <c r="F69" i="25"/>
  <c r="G68" i="25"/>
  <c r="I68" i="25" s="1"/>
  <c r="I67" i="25"/>
  <c r="G67" i="25"/>
  <c r="D58" i="25"/>
  <c r="D60" i="25" s="1"/>
  <c r="F59" i="25"/>
  <c r="G59" i="25" s="1"/>
  <c r="H59" i="25" s="1"/>
  <c r="E59" i="25"/>
  <c r="E57" i="25"/>
  <c r="G57" i="25" s="1"/>
  <c r="G60" i="25" s="1"/>
  <c r="E96" i="25"/>
  <c r="E95" i="25"/>
  <c r="E94" i="25"/>
  <c r="E93" i="25"/>
  <c r="E92" i="25"/>
  <c r="E91" i="25"/>
  <c r="E90" i="25"/>
  <c r="E89" i="25"/>
  <c r="E81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F58" i="25" l="1"/>
  <c r="H58" i="25" s="1"/>
  <c r="H60" i="25" s="1"/>
  <c r="F81" i="25"/>
  <c r="G81" i="25"/>
  <c r="H69" i="25"/>
  <c r="H70" i="25"/>
  <c r="H74" i="25"/>
  <c r="H81" i="25" s="1"/>
  <c r="H75" i="25"/>
  <c r="H77" i="25"/>
  <c r="H78" i="25"/>
  <c r="H79" i="25"/>
  <c r="H80" i="25"/>
  <c r="I81" i="25"/>
  <c r="F60" i="25"/>
  <c r="E60" i="25"/>
  <c r="E97" i="25"/>
  <c r="G47" i="25"/>
  <c r="G48" i="25" s="1"/>
  <c r="G49" i="25" s="1"/>
  <c r="G50" i="25" s="1"/>
  <c r="G51" i="25" s="1"/>
  <c r="M67" i="27" l="1"/>
  <c r="M68" i="27" s="1"/>
  <c r="M69" i="27" s="1"/>
  <c r="M70" i="27" s="1"/>
  <c r="M33" i="27"/>
  <c r="M34" i="27" s="1"/>
  <c r="M35" i="27" s="1"/>
  <c r="M36" i="27" s="1"/>
  <c r="L22" i="27"/>
  <c r="K22" i="27"/>
  <c r="J22" i="27"/>
  <c r="I22" i="27"/>
  <c r="L21" i="27"/>
  <c r="J21" i="27"/>
  <c r="M22" i="27" l="1"/>
  <c r="L29" i="27"/>
  <c r="I22" i="28"/>
  <c r="J22" i="28" s="1"/>
  <c r="K22" i="28" s="1"/>
  <c r="L22" i="28" s="1"/>
  <c r="I21" i="28"/>
  <c r="J21" i="28" s="1"/>
  <c r="K21" i="28" s="1"/>
  <c r="L21" i="28" s="1"/>
  <c r="I20" i="28"/>
  <c r="J20" i="28" s="1"/>
  <c r="K20" i="28" s="1"/>
  <c r="L20" i="28" s="1"/>
  <c r="I19" i="28"/>
  <c r="J19" i="28" s="1"/>
  <c r="K19" i="28" s="1"/>
  <c r="L19" i="28" s="1"/>
  <c r="I18" i="28"/>
  <c r="J18" i="28" s="1"/>
  <c r="K18" i="28" s="1"/>
  <c r="L18" i="28" s="1"/>
  <c r="I17" i="28"/>
  <c r="J17" i="28" s="1"/>
  <c r="K17" i="28" s="1"/>
  <c r="L17" i="28" s="1"/>
  <c r="I16" i="28"/>
  <c r="J16" i="28" s="1"/>
  <c r="K16" i="28" s="1"/>
  <c r="L16" i="28" s="1"/>
  <c r="I15" i="28"/>
  <c r="J15" i="28" s="1"/>
  <c r="K15" i="28" s="1"/>
  <c r="L15" i="28" s="1"/>
  <c r="I14" i="28"/>
  <c r="J14" i="28" s="1"/>
  <c r="K14" i="28" s="1"/>
  <c r="L14" i="28" s="1"/>
  <c r="I13" i="28"/>
  <c r="J13" i="28" s="1"/>
  <c r="K13" i="28" s="1"/>
  <c r="L13" i="28" s="1"/>
  <c r="I12" i="28"/>
  <c r="J12" i="28" s="1"/>
  <c r="K12" i="28" s="1"/>
  <c r="L12" i="28" s="1"/>
  <c r="I11" i="28"/>
  <c r="J11" i="28" s="1"/>
  <c r="K11" i="28" s="1"/>
  <c r="L11" i="28" s="1"/>
  <c r="J10" i="28"/>
  <c r="I10" i="28"/>
  <c r="F16" i="28"/>
  <c r="F15" i="28"/>
  <c r="F14" i="28"/>
  <c r="F21" i="28"/>
  <c r="F20" i="28"/>
  <c r="F19" i="28"/>
  <c r="J23" i="28" l="1"/>
  <c r="I23" i="28"/>
  <c r="K10" i="28"/>
  <c r="M52" i="40"/>
  <c r="L23" i="40"/>
  <c r="L15" i="40"/>
  <c r="L37" i="40" s="1"/>
  <c r="L41" i="40" s="1"/>
  <c r="L53" i="40" s="1"/>
  <c r="M53" i="40" s="1"/>
  <c r="F24" i="46"/>
  <c r="F16" i="46"/>
  <c r="F52" i="46"/>
  <c r="E52" i="46"/>
  <c r="F30" i="46"/>
  <c r="L10" i="28" l="1"/>
  <c r="L23" i="28" s="1"/>
  <c r="K23" i="28"/>
  <c r="F13" i="46"/>
  <c r="F6" i="46"/>
  <c r="C40" i="46" l="1"/>
  <c r="D11" i="46"/>
  <c r="D8" i="46"/>
  <c r="D5" i="46"/>
  <c r="D40" i="46" l="1"/>
  <c r="D66" i="46" l="1"/>
  <c r="D70" i="46" s="1"/>
  <c r="C66" i="46"/>
  <c r="C70" i="46" s="1"/>
  <c r="E40" i="46"/>
  <c r="M41" i="40"/>
  <c r="M40" i="40"/>
  <c r="M39" i="40"/>
  <c r="M38" i="40"/>
  <c r="M37" i="40"/>
  <c r="M36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 l="1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E52" i="40" l="1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2" i="40"/>
  <c r="E21" i="40"/>
  <c r="E20" i="40"/>
  <c r="E19" i="40"/>
  <c r="E18" i="40"/>
  <c r="E17" i="40"/>
  <c r="E16" i="40"/>
  <c r="E14" i="40"/>
  <c r="E13" i="40"/>
  <c r="E12" i="40"/>
  <c r="E11" i="40"/>
  <c r="E10" i="40"/>
  <c r="E9" i="40"/>
  <c r="G8" i="11"/>
  <c r="G6" i="11"/>
  <c r="G10" i="11"/>
  <c r="G53" i="6"/>
  <c r="G52" i="6"/>
  <c r="G10" i="10"/>
  <c r="G19" i="10" s="1"/>
  <c r="F10" i="10"/>
  <c r="C14" i="10"/>
  <c r="C13" i="10"/>
  <c r="C12" i="10"/>
  <c r="C11" i="10"/>
  <c r="C9" i="10"/>
  <c r="E19" i="10"/>
  <c r="C10" i="10" l="1"/>
  <c r="G16" i="49" l="1"/>
  <c r="F13" i="49"/>
  <c r="F11" i="46" l="1"/>
  <c r="F66" i="46"/>
  <c r="C27" i="49" l="1"/>
  <c r="C26" i="49"/>
  <c r="C25" i="49"/>
  <c r="C24" i="49"/>
  <c r="G23" i="49"/>
  <c r="G28" i="49" s="1"/>
  <c r="F23" i="49"/>
  <c r="F28" i="49" s="1"/>
  <c r="E23" i="49"/>
  <c r="D23" i="49"/>
  <c r="D28" i="49" s="1"/>
  <c r="G20" i="49"/>
  <c r="F20" i="49"/>
  <c r="E20" i="49"/>
  <c r="D20" i="49"/>
  <c r="C19" i="49"/>
  <c r="C18" i="49"/>
  <c r="C16" i="49"/>
  <c r="C14" i="49"/>
  <c r="C13" i="49"/>
  <c r="C12" i="49"/>
  <c r="C11" i="49"/>
  <c r="G10" i="49"/>
  <c r="G15" i="49" s="1"/>
  <c r="F10" i="49"/>
  <c r="F15" i="49" s="1"/>
  <c r="E10" i="49"/>
  <c r="E15" i="49" s="1"/>
  <c r="E17" i="49" s="1"/>
  <c r="D10" i="49"/>
  <c r="D15" i="49" s="1"/>
  <c r="F21" i="49" l="1"/>
  <c r="F17" i="49"/>
  <c r="G21" i="49"/>
  <c r="G17" i="49"/>
  <c r="D17" i="49"/>
  <c r="D21" i="49"/>
  <c r="D29" i="49" s="1"/>
  <c r="D30" i="49" s="1"/>
  <c r="E21" i="49"/>
  <c r="E29" i="49" s="1"/>
  <c r="E30" i="49" s="1"/>
  <c r="C10" i="49"/>
  <c r="C15" i="49" s="1"/>
  <c r="C17" i="49" s="1"/>
  <c r="C23" i="49"/>
  <c r="C28" i="49" s="1"/>
  <c r="F29" i="49" l="1"/>
  <c r="F30" i="49" s="1"/>
  <c r="G29" i="49"/>
  <c r="G30" i="49" s="1"/>
  <c r="C30" i="49" l="1"/>
  <c r="C29" i="49" s="1"/>
  <c r="E66" i="46" l="1"/>
  <c r="E70" i="46" s="1"/>
  <c r="C146" i="45" l="1"/>
  <c r="C105" i="45"/>
  <c r="C89" i="45"/>
  <c r="C38" i="45"/>
  <c r="C50" i="45" l="1"/>
  <c r="B11" i="44" l="1"/>
  <c r="C7" i="18" l="1"/>
  <c r="C40" i="18" s="1"/>
  <c r="C31" i="32"/>
  <c r="E22" i="32"/>
  <c r="G25" i="32" l="1"/>
  <c r="E29" i="32"/>
  <c r="E21" i="32"/>
  <c r="F21" i="32" s="1"/>
  <c r="E12" i="32"/>
  <c r="B14" i="32"/>
  <c r="D23" i="40"/>
  <c r="E23" i="40" s="1"/>
  <c r="C24" i="18"/>
  <c r="I18" i="5" l="1"/>
  <c r="C42" i="18" l="1"/>
  <c r="C41" i="18" s="1"/>
  <c r="C43" i="18" s="1"/>
  <c r="D12" i="20" s="1"/>
  <c r="D53" i="40" l="1"/>
  <c r="E53" i="40" s="1"/>
  <c r="D15" i="40"/>
  <c r="E15" i="40" s="1"/>
  <c r="B11" i="22" l="1"/>
  <c r="B3" i="22" s="1"/>
  <c r="C16" i="10" l="1"/>
  <c r="C8" i="10" s="1"/>
  <c r="D8" i="10"/>
  <c r="C32" i="12" l="1"/>
  <c r="C52" i="12"/>
  <c r="F22" i="28"/>
  <c r="F18" i="28"/>
  <c r="F13" i="28"/>
  <c r="F12" i="28"/>
  <c r="F11" i="28"/>
  <c r="F10" i="28"/>
  <c r="F32" i="12" l="1"/>
  <c r="G4" i="11"/>
  <c r="L75" i="1" l="1"/>
  <c r="D80" i="37"/>
  <c r="D81" i="37" s="1"/>
  <c r="D66" i="37"/>
  <c r="D67" i="37" s="1"/>
  <c r="D45" i="37"/>
  <c r="D44" i="37"/>
  <c r="D43" i="37"/>
  <c r="D42" i="37"/>
  <c r="D41" i="37"/>
  <c r="D40" i="37"/>
  <c r="D38" i="37"/>
  <c r="D37" i="37"/>
  <c r="D35" i="37"/>
  <c r="D31" i="37"/>
  <c r="D30" i="37"/>
  <c r="D29" i="37"/>
  <c r="D28" i="37"/>
  <c r="D27" i="37"/>
  <c r="D26" i="37"/>
  <c r="D25" i="37"/>
  <c r="D24" i="37"/>
  <c r="D23" i="37"/>
  <c r="D22" i="37"/>
  <c r="D21" i="37"/>
  <c r="D18" i="37"/>
  <c r="D17" i="37"/>
  <c r="D16" i="37"/>
  <c r="D11" i="37"/>
  <c r="D10" i="37"/>
  <c r="D12" i="37" s="1"/>
  <c r="E20" i="2"/>
  <c r="E19" i="2"/>
  <c r="E28" i="2" l="1"/>
  <c r="D13" i="37"/>
  <c r="D46" i="37" s="1"/>
  <c r="D47" i="37" s="1"/>
  <c r="D48" i="37" s="1"/>
  <c r="D83" i="37" s="1"/>
  <c r="K52" i="5" l="1"/>
  <c r="L52" i="5" s="1"/>
  <c r="K50" i="5"/>
  <c r="L50" i="5" s="1"/>
  <c r="I72" i="5"/>
  <c r="I71" i="5"/>
  <c r="I70" i="5"/>
  <c r="F79" i="5"/>
  <c r="L48" i="1"/>
  <c r="L46" i="1"/>
  <c r="L45" i="1"/>
  <c r="L44" i="1"/>
  <c r="L68" i="1"/>
  <c r="L66" i="1"/>
  <c r="L18" i="27"/>
  <c r="J54" i="27"/>
  <c r="E48" i="11"/>
  <c r="E33" i="11"/>
  <c r="D46" i="11"/>
  <c r="D44" i="11"/>
  <c r="D43" i="11"/>
  <c r="D41" i="11"/>
  <c r="D40" i="11"/>
  <c r="D39" i="11"/>
  <c r="D29" i="11"/>
  <c r="D27" i="11"/>
  <c r="D24" i="11"/>
  <c r="D23" i="11"/>
  <c r="D22" i="11"/>
  <c r="D21" i="11"/>
  <c r="D20" i="11"/>
  <c r="D19" i="11"/>
  <c r="D18" i="11"/>
  <c r="D45" i="11"/>
  <c r="D37" i="11"/>
  <c r="G5" i="11"/>
  <c r="D42" i="11" s="1"/>
  <c r="D38" i="11"/>
  <c r="G3" i="11"/>
  <c r="D15" i="11" s="1"/>
  <c r="E32" i="12"/>
  <c r="D32" i="12"/>
  <c r="E52" i="12"/>
  <c r="M50" i="5" l="1"/>
  <c r="M52" i="5"/>
  <c r="K70" i="5"/>
  <c r="L70" i="5" s="1"/>
  <c r="K71" i="5"/>
  <c r="L71" i="5" s="1"/>
  <c r="M71" i="5" s="1"/>
  <c r="K72" i="5"/>
  <c r="L72" i="5" s="1"/>
  <c r="D14" i="11"/>
  <c r="D17" i="11"/>
  <c r="D25" i="11"/>
  <c r="D26" i="11"/>
  <c r="D28" i="11"/>
  <c r="D30" i="11"/>
  <c r="D31" i="11"/>
  <c r="D32" i="11"/>
  <c r="D35" i="11"/>
  <c r="D36" i="11"/>
  <c r="D33" i="11" l="1"/>
  <c r="D34" i="11" s="1"/>
  <c r="N71" i="5"/>
  <c r="O71" i="5" s="1"/>
  <c r="M72" i="5"/>
  <c r="M70" i="5"/>
  <c r="N52" i="5"/>
  <c r="O52" i="5" s="1"/>
  <c r="N50" i="5"/>
  <c r="O50" i="5" s="1"/>
  <c r="D47" i="11"/>
  <c r="D48" i="11" s="1"/>
  <c r="N72" i="5" l="1"/>
  <c r="O72" i="5" s="1"/>
  <c r="N70" i="5"/>
  <c r="O70" i="5" s="1"/>
  <c r="D49" i="11"/>
  <c r="C17" i="10" l="1"/>
  <c r="E12" i="36" l="1"/>
  <c r="E23" i="36"/>
  <c r="E22" i="36"/>
  <c r="E21" i="36"/>
  <c r="E20" i="36"/>
  <c r="E19" i="36"/>
  <c r="E18" i="36"/>
  <c r="E17" i="36"/>
  <c r="E16" i="36"/>
  <c r="E15" i="36"/>
  <c r="E14" i="36"/>
  <c r="E13" i="36"/>
  <c r="E24" i="36" l="1"/>
  <c r="C18" i="10"/>
  <c r="G8" i="10"/>
  <c r="F19" i="10"/>
  <c r="D25" i="21"/>
  <c r="C26" i="14"/>
  <c r="C21" i="14" s="1"/>
  <c r="C33" i="14" s="1"/>
  <c r="E48" i="36" l="1"/>
  <c r="E25" i="36"/>
  <c r="E26" i="36" s="1"/>
  <c r="E27" i="36" s="1"/>
  <c r="E28" i="36" s="1"/>
  <c r="E49" i="36"/>
  <c r="C37" i="14"/>
  <c r="C49" i="14" s="1"/>
  <c r="C19" i="10"/>
  <c r="C24" i="17"/>
  <c r="D6" i="20" l="1"/>
  <c r="D18" i="16"/>
  <c r="D21" i="16"/>
  <c r="D24" i="16"/>
  <c r="D27" i="16"/>
  <c r="D30" i="16"/>
  <c r="D14" i="20" l="1"/>
  <c r="D26" i="20" s="1"/>
  <c r="D13" i="20"/>
  <c r="D36" i="16"/>
  <c r="D37" i="16" s="1"/>
  <c r="D42" i="16" l="1"/>
  <c r="D43" i="16" s="1"/>
  <c r="E30" i="32"/>
  <c r="F30" i="32" s="1"/>
  <c r="F29" i="32"/>
  <c r="F25" i="32" s="1"/>
  <c r="F22" i="32"/>
  <c r="E18" i="32"/>
  <c r="F18" i="32" s="1"/>
  <c r="E17" i="32"/>
  <c r="F17" i="32" s="1"/>
  <c r="E13" i="32"/>
  <c r="F13" i="32" s="1"/>
  <c r="F12" i="32"/>
  <c r="B25" i="32"/>
  <c r="E19" i="32"/>
  <c r="B19" i="32"/>
  <c r="G14" i="32"/>
  <c r="G9" i="32"/>
  <c r="B9" i="32"/>
  <c r="B8" i="32" s="1"/>
  <c r="G85" i="23"/>
  <c r="I63" i="24"/>
  <c r="I62" i="24"/>
  <c r="I61" i="24"/>
  <c r="I60" i="24"/>
  <c r="I59" i="24"/>
  <c r="I58" i="24"/>
  <c r="I57" i="24"/>
  <c r="I56" i="24"/>
  <c r="I55" i="24"/>
  <c r="I54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F17" i="28"/>
  <c r="D41" i="27"/>
  <c r="D40" i="27"/>
  <c r="D39" i="27"/>
  <c r="L20" i="27"/>
  <c r="K20" i="27"/>
  <c r="J20" i="27"/>
  <c r="I20" i="27"/>
  <c r="L15" i="27"/>
  <c r="E8" i="27"/>
  <c r="E7" i="27"/>
  <c r="E6" i="27"/>
  <c r="I29" i="27" s="1"/>
  <c r="E5" i="27"/>
  <c r="I28" i="27" s="1"/>
  <c r="G168" i="23"/>
  <c r="G167" i="23"/>
  <c r="G166" i="23"/>
  <c r="E136" i="23"/>
  <c r="E135" i="23"/>
  <c r="E134" i="23"/>
  <c r="E133" i="23"/>
  <c r="E132" i="23"/>
  <c r="E131" i="23"/>
  <c r="D153" i="23" s="1"/>
  <c r="E153" i="23" s="1"/>
  <c r="F107" i="23"/>
  <c r="F101" i="23"/>
  <c r="F100" i="23"/>
  <c r="F99" i="23"/>
  <c r="F98" i="23"/>
  <c r="F97" i="23"/>
  <c r="D118" i="23" s="1"/>
  <c r="E118" i="23" s="1"/>
  <c r="G118" i="23" s="1"/>
  <c r="G87" i="23"/>
  <c r="G86" i="23"/>
  <c r="C74" i="23"/>
  <c r="F74" i="23" s="1"/>
  <c r="C73" i="23"/>
  <c r="F73" i="23" s="1"/>
  <c r="C72" i="23"/>
  <c r="F72" i="23" s="1"/>
  <c r="C71" i="23"/>
  <c r="F71" i="23" s="1"/>
  <c r="E61" i="23"/>
  <c r="G61" i="23" s="1"/>
  <c r="C47" i="23"/>
  <c r="F47" i="23" s="1"/>
  <c r="C46" i="23"/>
  <c r="F46" i="23" s="1"/>
  <c r="C45" i="23"/>
  <c r="F45" i="23" s="1"/>
  <c r="C44" i="23"/>
  <c r="F44" i="23" s="1"/>
  <c r="E27" i="23"/>
  <c r="E28" i="23" s="1"/>
  <c r="G28" i="23" s="1"/>
  <c r="C13" i="23"/>
  <c r="F13" i="23" s="1"/>
  <c r="C12" i="23"/>
  <c r="F12" i="23" s="1"/>
  <c r="C11" i="23"/>
  <c r="F11" i="23" s="1"/>
  <c r="C10" i="23"/>
  <c r="F10" i="23" s="1"/>
  <c r="C5" i="20"/>
  <c r="H39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L34" i="1"/>
  <c r="I20" i="5"/>
  <c r="I22" i="5"/>
  <c r="I23" i="5"/>
  <c r="I25" i="5"/>
  <c r="I30" i="5"/>
  <c r="I31" i="5"/>
  <c r="I53" i="5"/>
  <c r="I49" i="5"/>
  <c r="I48" i="5"/>
  <c r="I47" i="5"/>
  <c r="I46" i="5"/>
  <c r="I44" i="5"/>
  <c r="I43" i="5"/>
  <c r="I42" i="5"/>
  <c r="I86" i="5"/>
  <c r="F26" i="5"/>
  <c r="F88" i="5" s="1"/>
  <c r="F54" i="5"/>
  <c r="G50" i="1"/>
  <c r="G79" i="1" s="1"/>
  <c r="A10" i="1"/>
  <c r="A11" i="1" s="1"/>
  <c r="A12" i="1" s="1"/>
  <c r="A13" i="1" s="1"/>
  <c r="A16" i="1"/>
  <c r="A17" i="1" s="1"/>
  <c r="A18" i="1" s="1"/>
  <c r="A19" i="1" s="1"/>
  <c r="A20" i="1" s="1"/>
  <c r="A21" i="1" s="1"/>
  <c r="A22" i="1" s="1"/>
  <c r="F87" i="5"/>
  <c r="I85" i="5"/>
  <c r="I84" i="5"/>
  <c r="I83" i="5"/>
  <c r="I78" i="5"/>
  <c r="I76" i="5"/>
  <c r="I75" i="5"/>
  <c r="I74" i="5"/>
  <c r="I73" i="5"/>
  <c r="I69" i="5"/>
  <c r="I68" i="5"/>
  <c r="I67" i="5"/>
  <c r="I66" i="5"/>
  <c r="I65" i="5"/>
  <c r="I37" i="5"/>
  <c r="I36" i="5"/>
  <c r="I21" i="5"/>
  <c r="I19" i="5"/>
  <c r="I17" i="5"/>
  <c r="I16" i="5"/>
  <c r="I15" i="5"/>
  <c r="I14" i="5"/>
  <c r="I13" i="5"/>
  <c r="I12" i="5"/>
  <c r="I11" i="5"/>
  <c r="I10" i="5"/>
  <c r="L9" i="1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24" i="32" l="1"/>
  <c r="I54" i="5"/>
  <c r="F19" i="32"/>
  <c r="G19" i="32"/>
  <c r="I38" i="5"/>
  <c r="I26" i="5"/>
  <c r="I79" i="5"/>
  <c r="I87" i="5"/>
  <c r="K73" i="5"/>
  <c r="L73" i="5" s="1"/>
  <c r="M73" i="5" s="1"/>
  <c r="K74" i="5"/>
  <c r="L74" i="5" s="1"/>
  <c r="M74" i="5" s="1"/>
  <c r="K83" i="5"/>
  <c r="L83" i="5"/>
  <c r="M83" i="5" s="1"/>
  <c r="K66" i="5"/>
  <c r="L66" i="5" s="1"/>
  <c r="M66" i="5" s="1"/>
  <c r="K67" i="5"/>
  <c r="L67" i="5" s="1"/>
  <c r="M67" i="5" s="1"/>
  <c r="K68" i="5"/>
  <c r="L68" i="5" s="1"/>
  <c r="M68" i="5" s="1"/>
  <c r="K65" i="5"/>
  <c r="L65" i="5" s="1"/>
  <c r="K69" i="5"/>
  <c r="L69" i="5" s="1"/>
  <c r="M69" i="5" s="1"/>
  <c r="K75" i="5"/>
  <c r="L75" i="5" s="1"/>
  <c r="M75" i="5" s="1"/>
  <c r="K84" i="5"/>
  <c r="L84" i="5" s="1"/>
  <c r="K76" i="5"/>
  <c r="L76" i="5" s="1"/>
  <c r="M76" i="5" s="1"/>
  <c r="K20" i="5"/>
  <c r="L20" i="5" s="1"/>
  <c r="M20" i="5" s="1"/>
  <c r="H63" i="27"/>
  <c r="H56" i="27"/>
  <c r="H62" i="27"/>
  <c r="I21" i="27"/>
  <c r="K29" i="27"/>
  <c r="I56" i="27"/>
  <c r="I62" i="27"/>
  <c r="K21" i="27"/>
  <c r="J29" i="27"/>
  <c r="M29" i="27" s="1"/>
  <c r="J62" i="27"/>
  <c r="J56" i="27"/>
  <c r="M20" i="27"/>
  <c r="G8" i="32"/>
  <c r="E9" i="32"/>
  <c r="F9" i="32"/>
  <c r="F14" i="23"/>
  <c r="D23" i="23" s="1"/>
  <c r="E23" i="23" s="1"/>
  <c r="G23" i="23" s="1"/>
  <c r="I65" i="24"/>
  <c r="I66" i="24" s="1"/>
  <c r="I67" i="24" s="1"/>
  <c r="I68" i="24" s="1"/>
  <c r="I69" i="24" s="1"/>
  <c r="G54" i="6"/>
  <c r="H47" i="7"/>
  <c r="K23" i="5"/>
  <c r="L23" i="5" s="1"/>
  <c r="F48" i="23"/>
  <c r="D59" i="23" s="1"/>
  <c r="E59" i="23" s="1"/>
  <c r="G59" i="23" s="1"/>
  <c r="J28" i="27"/>
  <c r="K18" i="27"/>
  <c r="B31" i="32"/>
  <c r="K28" i="27"/>
  <c r="I18" i="27"/>
  <c r="H30" i="7"/>
  <c r="F75" i="23"/>
  <c r="D81" i="23" s="1"/>
  <c r="E81" i="23" s="1"/>
  <c r="G81" i="23" s="1"/>
  <c r="L28" i="27"/>
  <c r="J18" i="27"/>
  <c r="E14" i="32"/>
  <c r="G153" i="23"/>
  <c r="H23" i="28"/>
  <c r="F14" i="32"/>
  <c r="I63" i="27"/>
  <c r="H54" i="27"/>
  <c r="J63" i="27"/>
  <c r="I54" i="27"/>
  <c r="E25" i="32"/>
  <c r="I13" i="27"/>
  <c r="J13" i="27"/>
  <c r="K13" i="27"/>
  <c r="L13" i="27"/>
  <c r="I14" i="27"/>
  <c r="J14" i="27"/>
  <c r="K14" i="27"/>
  <c r="L14" i="27"/>
  <c r="I15" i="27"/>
  <c r="J15" i="27"/>
  <c r="K15" i="27"/>
  <c r="I16" i="27"/>
  <c r="J16" i="27"/>
  <c r="K16" i="27"/>
  <c r="L16" i="27"/>
  <c r="I17" i="27"/>
  <c r="J17" i="27"/>
  <c r="K17" i="27"/>
  <c r="L17" i="27"/>
  <c r="I19" i="27"/>
  <c r="J19" i="27"/>
  <c r="K19" i="27"/>
  <c r="L19" i="27"/>
  <c r="I27" i="27"/>
  <c r="J27" i="27"/>
  <c r="K27" i="27"/>
  <c r="L27" i="27"/>
  <c r="H47" i="27"/>
  <c r="I47" i="27"/>
  <c r="J47" i="27"/>
  <c r="H48" i="27"/>
  <c r="I48" i="27"/>
  <c r="J48" i="27"/>
  <c r="H49" i="27"/>
  <c r="I49" i="27"/>
  <c r="J49" i="27"/>
  <c r="H50" i="27"/>
  <c r="I50" i="27"/>
  <c r="J50" i="27"/>
  <c r="H51" i="27"/>
  <c r="I51" i="27"/>
  <c r="J51" i="27"/>
  <c r="H52" i="27"/>
  <c r="I52" i="27"/>
  <c r="J52" i="27"/>
  <c r="H53" i="27"/>
  <c r="I53" i="27"/>
  <c r="J53" i="27"/>
  <c r="H55" i="27"/>
  <c r="I55" i="27"/>
  <c r="J55" i="27"/>
  <c r="H61" i="27"/>
  <c r="I61" i="27"/>
  <c r="J61" i="27"/>
  <c r="D26" i="23"/>
  <c r="E26" i="23" s="1"/>
  <c r="G26" i="23" s="1"/>
  <c r="G27" i="23"/>
  <c r="F102" i="23"/>
  <c r="E137" i="23"/>
  <c r="G51" i="6"/>
  <c r="K25" i="5"/>
  <c r="L25" i="5" s="1"/>
  <c r="K30" i="5"/>
  <c r="K31" i="5"/>
  <c r="L31" i="5" s="1"/>
  <c r="K44" i="5"/>
  <c r="K43" i="5"/>
  <c r="K42" i="5"/>
  <c r="L42" i="5" s="1"/>
  <c r="K10" i="5"/>
  <c r="L10" i="5" s="1"/>
  <c r="K11" i="5"/>
  <c r="L11" i="5" s="1"/>
  <c r="K12" i="5"/>
  <c r="K13" i="5"/>
  <c r="L13" i="5" s="1"/>
  <c r="M13" i="5" s="1"/>
  <c r="K14" i="5"/>
  <c r="K15" i="5"/>
  <c r="L15" i="5" s="1"/>
  <c r="M15" i="5" s="1"/>
  <c r="K16" i="5"/>
  <c r="K17" i="5"/>
  <c r="L17" i="5" s="1"/>
  <c r="M17" i="5" s="1"/>
  <c r="K18" i="5"/>
  <c r="K19" i="5"/>
  <c r="K21" i="5"/>
  <c r="K22" i="5"/>
  <c r="L22" i="5" s="1"/>
  <c r="M22" i="5" s="1"/>
  <c r="K36" i="5"/>
  <c r="L36" i="5" s="1"/>
  <c r="M36" i="5" s="1"/>
  <c r="K37" i="5"/>
  <c r="L37" i="5" s="1"/>
  <c r="K46" i="5"/>
  <c r="L46" i="5" s="1"/>
  <c r="K47" i="5"/>
  <c r="K48" i="5"/>
  <c r="K49" i="5"/>
  <c r="K53" i="5"/>
  <c r="L53" i="5" s="1"/>
  <c r="K78" i="5"/>
  <c r="K85" i="5"/>
  <c r="L85" i="5" s="1"/>
  <c r="M85" i="5" s="1"/>
  <c r="K86" i="5"/>
  <c r="L86" i="5" s="1"/>
  <c r="G31" i="32" l="1"/>
  <c r="G24" i="32"/>
  <c r="K79" i="5"/>
  <c r="M53" i="5"/>
  <c r="N53" i="5" s="1"/>
  <c r="O53" i="5" s="1"/>
  <c r="L78" i="5"/>
  <c r="M78" i="5" s="1"/>
  <c r="N78" i="5" s="1"/>
  <c r="L49" i="5"/>
  <c r="M49" i="5" s="1"/>
  <c r="N49" i="5" s="1"/>
  <c r="O49" i="5" s="1"/>
  <c r="L48" i="5"/>
  <c r="M48" i="5" s="1"/>
  <c r="N48" i="5" s="1"/>
  <c r="O48" i="5" s="1"/>
  <c r="L47" i="5"/>
  <c r="M47" i="5" s="1"/>
  <c r="N47" i="5" s="1"/>
  <c r="O47" i="5" s="1"/>
  <c r="L44" i="5"/>
  <c r="M44" i="5" s="1"/>
  <c r="N44" i="5" s="1"/>
  <c r="O44" i="5" s="1"/>
  <c r="L43" i="5"/>
  <c r="M43" i="5" s="1"/>
  <c r="N43" i="5" s="1"/>
  <c r="O43" i="5" s="1"/>
  <c r="M31" i="5"/>
  <c r="N31" i="5" s="1"/>
  <c r="O31" i="5" s="1"/>
  <c r="L30" i="5"/>
  <c r="M30" i="5" s="1"/>
  <c r="N30" i="5" s="1"/>
  <c r="O30" i="5" s="1"/>
  <c r="M25" i="5"/>
  <c r="N25" i="5" s="1"/>
  <c r="O25" i="5" s="1"/>
  <c r="L21" i="5"/>
  <c r="L19" i="5"/>
  <c r="M19" i="5" s="1"/>
  <c r="L18" i="5"/>
  <c r="M18" i="5" s="1"/>
  <c r="N18" i="5" s="1"/>
  <c r="O18" i="5" s="1"/>
  <c r="L16" i="5"/>
  <c r="M16" i="5" s="1"/>
  <c r="N16" i="5" s="1"/>
  <c r="O16" i="5" s="1"/>
  <c r="L14" i="5"/>
  <c r="M14" i="5" s="1"/>
  <c r="N14" i="5" s="1"/>
  <c r="O14" i="5" s="1"/>
  <c r="L12" i="5"/>
  <c r="M12" i="5" s="1"/>
  <c r="N12" i="5" s="1"/>
  <c r="O12" i="5" s="1"/>
  <c r="K63" i="27"/>
  <c r="K62" i="27"/>
  <c r="K56" i="27"/>
  <c r="M28" i="27"/>
  <c r="M21" i="27"/>
  <c r="F8" i="32"/>
  <c r="E8" i="32"/>
  <c r="D21" i="23"/>
  <c r="E21" i="23" s="1"/>
  <c r="G21" i="23" s="1"/>
  <c r="D22" i="23"/>
  <c r="E22" i="23" s="1"/>
  <c r="D82" i="23"/>
  <c r="E82" i="23" s="1"/>
  <c r="G82" i="23" s="1"/>
  <c r="D24" i="23"/>
  <c r="D60" i="23"/>
  <c r="E60" i="23" s="1"/>
  <c r="G60" i="23" s="1"/>
  <c r="D25" i="23"/>
  <c r="E25" i="23" s="1"/>
  <c r="G25" i="23" s="1"/>
  <c r="D56" i="23"/>
  <c r="E56" i="23" s="1"/>
  <c r="G56" i="23" s="1"/>
  <c r="M23" i="5"/>
  <c r="N23" i="5" s="1"/>
  <c r="O23" i="5" s="1"/>
  <c r="N20" i="5"/>
  <c r="O20" i="5" s="1"/>
  <c r="M10" i="5"/>
  <c r="N10" i="5" s="1"/>
  <c r="D83" i="23"/>
  <c r="E83" i="23" s="1"/>
  <c r="G83" i="23" s="1"/>
  <c r="D57" i="23"/>
  <c r="E57" i="23" s="1"/>
  <c r="G57" i="23" s="1"/>
  <c r="D84" i="23"/>
  <c r="E84" i="23" s="1"/>
  <c r="G84" i="23" s="1"/>
  <c r="D58" i="23"/>
  <c r="K87" i="5"/>
  <c r="K38" i="5"/>
  <c r="K26" i="5"/>
  <c r="D55" i="23"/>
  <c r="E55" i="23" s="1"/>
  <c r="G55" i="23" s="1"/>
  <c r="M18" i="27"/>
  <c r="K54" i="5"/>
  <c r="M42" i="5"/>
  <c r="N42" i="5" s="1"/>
  <c r="M37" i="5"/>
  <c r="N37" i="5" s="1"/>
  <c r="M86" i="5"/>
  <c r="N86" i="5" s="1"/>
  <c r="L87" i="5"/>
  <c r="K54" i="27"/>
  <c r="K61" i="27"/>
  <c r="K55" i="27"/>
  <c r="K53" i="27"/>
  <c r="K52" i="27"/>
  <c r="K51" i="27"/>
  <c r="K50" i="27"/>
  <c r="K49" i="27"/>
  <c r="K48" i="27"/>
  <c r="K47" i="27"/>
  <c r="M27" i="27"/>
  <c r="M19" i="27"/>
  <c r="M17" i="27"/>
  <c r="M16" i="27"/>
  <c r="M15" i="27"/>
  <c r="M14" i="27"/>
  <c r="M13" i="27"/>
  <c r="D169" i="23"/>
  <c r="E169" i="23" s="1"/>
  <c r="G169" i="23" s="1"/>
  <c r="D154" i="23"/>
  <c r="D152" i="23"/>
  <c r="E152" i="23" s="1"/>
  <c r="G152" i="23" s="1"/>
  <c r="D151" i="23"/>
  <c r="E151" i="23" s="1"/>
  <c r="G151" i="23" s="1"/>
  <c r="D150" i="23"/>
  <c r="E150" i="23" s="1"/>
  <c r="G150" i="23" s="1"/>
  <c r="D149" i="23"/>
  <c r="E149" i="23" s="1"/>
  <c r="G149" i="23" s="1"/>
  <c r="D148" i="23"/>
  <c r="E148" i="23" s="1"/>
  <c r="G148" i="23" s="1"/>
  <c r="D147" i="23"/>
  <c r="E147" i="23" s="1"/>
  <c r="G147" i="23" s="1"/>
  <c r="D146" i="23"/>
  <c r="E146" i="23" s="1"/>
  <c r="G146" i="23" s="1"/>
  <c r="D145" i="23"/>
  <c r="E145" i="23" s="1"/>
  <c r="G145" i="23" s="1"/>
  <c r="D144" i="23"/>
  <c r="E144" i="23" s="1"/>
  <c r="G144" i="23" s="1"/>
  <c r="D143" i="23"/>
  <c r="E143" i="23" s="1"/>
  <c r="G143" i="23" s="1"/>
  <c r="D121" i="23"/>
  <c r="E121" i="23" s="1"/>
  <c r="G121" i="23" s="1"/>
  <c r="D120" i="23"/>
  <c r="E120" i="23" s="1"/>
  <c r="G120" i="23" s="1"/>
  <c r="D119" i="23"/>
  <c r="E119" i="23" s="1"/>
  <c r="G119" i="23" s="1"/>
  <c r="D117" i="23"/>
  <c r="E117" i="23" s="1"/>
  <c r="G117" i="23" s="1"/>
  <c r="D116" i="23"/>
  <c r="E116" i="23" s="1"/>
  <c r="G116" i="23" s="1"/>
  <c r="D115" i="23"/>
  <c r="E115" i="23" s="1"/>
  <c r="G115" i="23" s="1"/>
  <c r="D114" i="23"/>
  <c r="E114" i="23" s="1"/>
  <c r="G114" i="23" s="1"/>
  <c r="D113" i="23"/>
  <c r="E113" i="23" s="1"/>
  <c r="G113" i="23" s="1"/>
  <c r="D112" i="23"/>
  <c r="E112" i="23" s="1"/>
  <c r="G112" i="23" s="1"/>
  <c r="D111" i="23"/>
  <c r="E111" i="23" s="1"/>
  <c r="G111" i="23" s="1"/>
  <c r="D110" i="23"/>
  <c r="E110" i="23" s="1"/>
  <c r="G110" i="23" s="1"/>
  <c r="D109" i="23"/>
  <c r="E109" i="23" s="1"/>
  <c r="G109" i="23" s="1"/>
  <c r="D108" i="23"/>
  <c r="E108" i="23" s="1"/>
  <c r="G108" i="23" s="1"/>
  <c r="E24" i="23"/>
  <c r="G24" i="23" s="1"/>
  <c r="G22" i="23"/>
  <c r="N85" i="5"/>
  <c r="O85" i="5" s="1"/>
  <c r="N83" i="5"/>
  <c r="O83" i="5" s="1"/>
  <c r="N76" i="5"/>
  <c r="O76" i="5" s="1"/>
  <c r="N75" i="5"/>
  <c r="O75" i="5" s="1"/>
  <c r="N74" i="5"/>
  <c r="O74" i="5" s="1"/>
  <c r="N73" i="5"/>
  <c r="O73" i="5" s="1"/>
  <c r="N69" i="5"/>
  <c r="O69" i="5" s="1"/>
  <c r="N68" i="5"/>
  <c r="O68" i="5" s="1"/>
  <c r="N67" i="5"/>
  <c r="O67" i="5" s="1"/>
  <c r="N66" i="5"/>
  <c r="O66" i="5" s="1"/>
  <c r="N36" i="5"/>
  <c r="O36" i="5" s="1"/>
  <c r="N22" i="5"/>
  <c r="O22" i="5" s="1"/>
  <c r="N17" i="5"/>
  <c r="O17" i="5" s="1"/>
  <c r="N15" i="5"/>
  <c r="O15" i="5" s="1"/>
  <c r="N13" i="5"/>
  <c r="O13" i="5" s="1"/>
  <c r="M84" i="5"/>
  <c r="M65" i="5"/>
  <c r="N65" i="5" s="1"/>
  <c r="M46" i="5"/>
  <c r="N46" i="5" s="1"/>
  <c r="M11" i="5"/>
  <c r="N11" i="5" s="1"/>
  <c r="N84" i="5"/>
  <c r="E31" i="32" l="1"/>
  <c r="E24" i="32"/>
  <c r="F31" i="32"/>
  <c r="F24" i="32"/>
  <c r="L79" i="5"/>
  <c r="L54" i="5"/>
  <c r="L38" i="5"/>
  <c r="M21" i="5"/>
  <c r="N21" i="5" s="1"/>
  <c r="N19" i="5"/>
  <c r="O19" i="5" s="1"/>
  <c r="L26" i="5"/>
  <c r="E58" i="23"/>
  <c r="G58" i="23" s="1"/>
  <c r="G62" i="23" s="1"/>
  <c r="K57" i="27"/>
  <c r="K64" i="27"/>
  <c r="M30" i="27"/>
  <c r="M23" i="27"/>
  <c r="K65" i="27"/>
  <c r="G29" i="23"/>
  <c r="G88" i="23"/>
  <c r="O10" i="5"/>
  <c r="M38" i="5"/>
  <c r="G122" i="23"/>
  <c r="M54" i="5"/>
  <c r="O42" i="5"/>
  <c r="N54" i="5"/>
  <c r="O37" i="5"/>
  <c r="N38" i="5"/>
  <c r="M87" i="5"/>
  <c r="O86" i="5"/>
  <c r="N87" i="5"/>
  <c r="D159" i="23"/>
  <c r="D158" i="23"/>
  <c r="E158" i="23" s="1"/>
  <c r="G158" i="23" s="1"/>
  <c r="D157" i="23"/>
  <c r="E157" i="23" s="1"/>
  <c r="G157" i="23" s="1"/>
  <c r="D156" i="23"/>
  <c r="E156" i="23" s="1"/>
  <c r="G156" i="23" s="1"/>
  <c r="D155" i="23"/>
  <c r="E155" i="23" s="1"/>
  <c r="G155" i="23" s="1"/>
  <c r="E154" i="23"/>
  <c r="G154" i="23" s="1"/>
  <c r="M79" i="5"/>
  <c r="O78" i="5"/>
  <c r="N79" i="5"/>
  <c r="O11" i="5"/>
  <c r="O46" i="5"/>
  <c r="O65" i="5"/>
  <c r="O84" i="5"/>
  <c r="L18" i="1"/>
  <c r="L13" i="1"/>
  <c r="L15" i="1"/>
  <c r="L12" i="1"/>
  <c r="L14" i="1"/>
  <c r="L11" i="1"/>
  <c r="G77" i="1"/>
  <c r="L76" i="1"/>
  <c r="L74" i="1"/>
  <c r="L73" i="1"/>
  <c r="L69" i="1"/>
  <c r="L65" i="1"/>
  <c r="L64" i="1"/>
  <c r="L63" i="1"/>
  <c r="L62" i="1"/>
  <c r="L61" i="1"/>
  <c r="L60" i="1"/>
  <c r="L59" i="1"/>
  <c r="L58" i="1"/>
  <c r="L57" i="1"/>
  <c r="L71" i="1" s="1"/>
  <c r="L49" i="1"/>
  <c r="L43" i="1"/>
  <c r="L42" i="1"/>
  <c r="L41" i="1"/>
  <c r="L40" i="1"/>
  <c r="L39" i="1"/>
  <c r="L38" i="1"/>
  <c r="L35" i="1"/>
  <c r="L22" i="1"/>
  <c r="L21" i="1"/>
  <c r="L20" i="1"/>
  <c r="L19" i="1"/>
  <c r="L17" i="1"/>
  <c r="L16" i="1"/>
  <c r="L10" i="1"/>
  <c r="O21" i="5" l="1"/>
  <c r="O26" i="5" s="1"/>
  <c r="N26" i="5"/>
  <c r="M26" i="5"/>
  <c r="L24" i="1"/>
  <c r="M31" i="27"/>
  <c r="O38" i="5"/>
  <c r="L77" i="1"/>
  <c r="O54" i="5"/>
  <c r="L50" i="1"/>
  <c r="O87" i="5"/>
  <c r="O79" i="5"/>
  <c r="D165" i="23"/>
  <c r="E165" i="23" s="1"/>
  <c r="G165" i="23" s="1"/>
  <c r="D164" i="23"/>
  <c r="E164" i="23" s="1"/>
  <c r="G164" i="23" s="1"/>
  <c r="D163" i="23"/>
  <c r="E163" i="23" s="1"/>
  <c r="G163" i="23" s="1"/>
  <c r="D162" i="23"/>
  <c r="E162" i="23" s="1"/>
  <c r="G162" i="23" s="1"/>
  <c r="D161" i="23"/>
  <c r="E161" i="23" s="1"/>
  <c r="G161" i="23" s="1"/>
  <c r="D160" i="23"/>
  <c r="E160" i="23" s="1"/>
  <c r="G160" i="23" s="1"/>
  <c r="E159" i="23"/>
  <c r="G159" i="23" s="1"/>
  <c r="O88" i="5" l="1"/>
  <c r="L79" i="1"/>
  <c r="G170" i="23"/>
  <c r="F180" i="23" s="1"/>
  <c r="F181" i="23" l="1"/>
  <c r="F179" i="23" s="1"/>
  <c r="C182" i="23" l="1"/>
  <c r="C183" i="23" s="1"/>
  <c r="C184" i="23" s="1"/>
  <c r="C185" i="23" s="1"/>
  <c r="C186" i="23" s="1"/>
  <c r="F5" i="46"/>
  <c r="F40" i="46" l="1"/>
  <c r="F70" i="46" s="1"/>
  <c r="D40" i="15"/>
  <c r="D66" i="15" s="1"/>
  <c r="F40" i="15"/>
  <c r="F66" i="15" s="1"/>
  <c r="H40" i="15"/>
  <c r="H66" i="15" s="1"/>
  <c r="H6" i="15"/>
  <c r="E40" i="15"/>
  <c r="E66" i="15" s="1"/>
  <c r="D6" i="15"/>
  <c r="E6" i="15"/>
  <c r="G6" i="15"/>
  <c r="G40" i="15"/>
  <c r="G66" i="15" s="1"/>
  <c r="F6" i="15"/>
</calcChain>
</file>

<file path=xl/sharedStrings.xml><?xml version="1.0" encoding="utf-8"?>
<sst xmlns="http://schemas.openxmlformats.org/spreadsheetml/2006/main" count="3213" uniqueCount="1557">
  <si>
    <t>№п.п.</t>
  </si>
  <si>
    <t>Должность</t>
  </si>
  <si>
    <t>Кол-во</t>
  </si>
  <si>
    <t>Коэффициент</t>
  </si>
  <si>
    <t>Ступень оплаты</t>
  </si>
  <si>
    <t>кол-во разрядов</t>
  </si>
  <si>
    <t>АУП</t>
  </si>
  <si>
    <t>гр.1*гр.3</t>
  </si>
  <si>
    <t>Главный инженер</t>
  </si>
  <si>
    <t>Главный бухгалтер</t>
  </si>
  <si>
    <t>Экономист</t>
  </si>
  <si>
    <t>Бухгалтер по реализации</t>
  </si>
  <si>
    <t>Юрисконсульт</t>
  </si>
  <si>
    <t>Инженер программист</t>
  </si>
  <si>
    <t>Инженер по подготовке производства</t>
  </si>
  <si>
    <t>Итого:</t>
  </si>
  <si>
    <t>Производственный персонал</t>
  </si>
  <si>
    <t>Механик автохозяйства</t>
  </si>
  <si>
    <t>Рабочие</t>
  </si>
  <si>
    <t>Оператор ЭВМ</t>
  </si>
  <si>
    <t>Автохозяйство</t>
  </si>
  <si>
    <t>Слесарь по ремонту автомобилей</t>
  </si>
  <si>
    <t>Водитель автобуса ПАЗ 320530</t>
  </si>
  <si>
    <t>Водитель "Субару-Форестер"</t>
  </si>
  <si>
    <t>Водитель ЗИЛ-130</t>
  </si>
  <si>
    <t>МОП</t>
  </si>
  <si>
    <t>1.</t>
  </si>
  <si>
    <t>Уборщик служебных помещений</t>
  </si>
  <si>
    <t>2.</t>
  </si>
  <si>
    <t>Кладовщик</t>
  </si>
  <si>
    <t>3.</t>
  </si>
  <si>
    <t>Сторож</t>
  </si>
  <si>
    <t>7.</t>
  </si>
  <si>
    <t>Фельдшер</t>
  </si>
  <si>
    <t>Всего по штатному расписанию</t>
  </si>
  <si>
    <t>Нормативное штатное расписание выполнено в соответствии Рекомендациями по нормированию труда работников энергетического хозяйства часть 3 Нормативы численности рабртников коммунальных электроэнергетических предприятий Утвержденных Приказом Госстроя России от 3.04.2000г. № 68</t>
  </si>
  <si>
    <t>Расчет средней ступени по оплате труда</t>
  </si>
  <si>
    <t xml:space="preserve">Тарифный коэффициент </t>
  </si>
  <si>
    <t>Директор</t>
  </si>
  <si>
    <t>Показатель</t>
  </si>
  <si>
    <t>Единица измерения</t>
  </si>
  <si>
    <t>км</t>
  </si>
  <si>
    <t xml:space="preserve">Воздушная ЛЭП 6-10 кВ </t>
  </si>
  <si>
    <t>на ж\б опорах</t>
  </si>
  <si>
    <t>на металлических опорах</t>
  </si>
  <si>
    <t>на деревнных опорах с ж\б приставками</t>
  </si>
  <si>
    <t xml:space="preserve">на деревнных опорах </t>
  </si>
  <si>
    <t xml:space="preserve">Воздушная ЛЭП до 1000 В </t>
  </si>
  <si>
    <t xml:space="preserve">Кабельные линии до 1 кВ </t>
  </si>
  <si>
    <t xml:space="preserve">Кабельные линии до 6-10 кВ </t>
  </si>
  <si>
    <t>Мачтовые трансформаторные подстанции</t>
  </si>
  <si>
    <t>ед.</t>
  </si>
  <si>
    <t>Закрытые трансформаторные подстанции с одним трансформатором</t>
  </si>
  <si>
    <t>Закрытые трансформаторные подстанции с двумя  трансформаторами</t>
  </si>
  <si>
    <t>Распределительные  пункты с постоянным дежурством персонала</t>
  </si>
  <si>
    <t>Количество комплектов АПВ и АВР</t>
  </si>
  <si>
    <t xml:space="preserve">Количество присоединений на напряжение до 20 кВ </t>
  </si>
  <si>
    <t>с маслянным выключателем</t>
  </si>
  <si>
    <t>с выключателем нагрузки</t>
  </si>
  <si>
    <t>Кол-во масляных выключателей</t>
  </si>
  <si>
    <t>Кол-во выключателей нагрузки и разъединителей</t>
  </si>
  <si>
    <t>Механические мастерские</t>
  </si>
  <si>
    <t>Всего с учетом температурного коэффициента</t>
  </si>
  <si>
    <t>Всего с учетом  коэффициента невыходов</t>
  </si>
  <si>
    <t>Водители транспортного средства</t>
  </si>
  <si>
    <t>Водители автобуса</t>
  </si>
  <si>
    <t>Рабочие текущего ремонта и обслуживания транспорта</t>
  </si>
  <si>
    <t>Уборщики служебных помещений</t>
  </si>
  <si>
    <t>Охрана круглосуточный режим работы</t>
  </si>
  <si>
    <t>чел.</t>
  </si>
  <si>
    <t>утверждены Приказом Госстроя России №68 от 03.04.2000г.</t>
  </si>
  <si>
    <t>до 200</t>
  </si>
  <si>
    <t>Разряд</t>
  </si>
  <si>
    <t>Коэфф-т</t>
  </si>
  <si>
    <r>
      <t>Оклад,</t>
    </r>
    <r>
      <rPr>
        <sz val="8"/>
        <rFont val="Arial Cyr"/>
        <charset val="204"/>
      </rPr>
      <t xml:space="preserve"> руб</t>
    </r>
  </si>
  <si>
    <t>кол-во</t>
  </si>
  <si>
    <t>разряд по ЕТС</t>
  </si>
  <si>
    <t>Оклад на 1 шт.ед в мес.</t>
  </si>
  <si>
    <t>На штатную численность</t>
  </si>
  <si>
    <t>Итого за год</t>
  </si>
  <si>
    <t>Оклад</t>
  </si>
  <si>
    <t>Премия</t>
  </si>
  <si>
    <t>РК</t>
  </si>
  <si>
    <t>СК</t>
  </si>
  <si>
    <t>Итого</t>
  </si>
  <si>
    <t>Инженер по эксплуатации  КИП</t>
  </si>
  <si>
    <t>Диспетчер</t>
  </si>
  <si>
    <t>Всего по штатному расписанию в год:</t>
  </si>
  <si>
    <t>Утверждаю</t>
  </si>
  <si>
    <t>Директор  МУП "Электросеть"</t>
  </si>
  <si>
    <t>_____________________Измайлова Л.М.</t>
  </si>
  <si>
    <t>Бухгалтер  по з/п, материалам</t>
  </si>
  <si>
    <t>Инспектор  по ОТ и ТБ</t>
  </si>
  <si>
    <t>Инженер по организации эксплуатации энергетического оборудования</t>
  </si>
  <si>
    <t>Инженер производственно технического  отдела</t>
  </si>
  <si>
    <t>Инженер по расчету и распределению эл/ энергии</t>
  </si>
  <si>
    <t xml:space="preserve">Инспектор ОК </t>
  </si>
  <si>
    <t>Делопроизводитель</t>
  </si>
  <si>
    <t>Мастер оперативно выездной бригады</t>
  </si>
  <si>
    <t>Мастер производственно технического отдела</t>
  </si>
  <si>
    <t>Электромонтер  гр.раб 2  оперативно выездной бригады</t>
  </si>
  <si>
    <t>Электромонтер  гр.раб 3  оперативно выездной бригады</t>
  </si>
  <si>
    <t>Электромонтер  гр.раб 4 оперативно выездной бригады</t>
  </si>
  <si>
    <t>Электромонтер  гр.раб 3  по эксплуатации распределительных сетей</t>
  </si>
  <si>
    <t>Электромонтер  гр.раб 4  по эксплуатации распределительных сетей</t>
  </si>
  <si>
    <t xml:space="preserve">Машинист </t>
  </si>
  <si>
    <t xml:space="preserve">Техник по эксплуатации </t>
  </si>
  <si>
    <t>Электромонтер  гр.раб 5  по эксплуатации распределительных сетей</t>
  </si>
  <si>
    <t>Газоэлектросварщик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</si>
  <si>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</si>
  <si>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</si>
  <si>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</si>
  <si>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</si>
  <si>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</si>
  <si>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</si>
  <si>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</si>
  <si>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</si>
  <si>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</si>
  <si>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</si>
  <si>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</si>
  <si>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</si>
  <si>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</si>
  <si>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</si>
  <si>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</si>
  <si>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</si>
  <si>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</si>
  <si>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</si>
  <si>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</si>
  <si>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</si>
  <si>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</si>
  <si>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</si>
  <si>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</si>
  <si>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</si>
  <si>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</si>
  <si>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</si>
  <si>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</si>
  <si>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</si>
  <si>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</si>
  <si>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</si>
  <si>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</si>
  <si>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</si>
  <si>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</si>
  <si>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</si>
  <si>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</si>
  <si>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</si>
  <si>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</si>
  <si>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</si>
  <si>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</si>
  <si>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</si>
  <si>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</si>
  <si>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</si>
  <si>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</si>
  <si>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</si>
  <si>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</si>
  <si>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</si>
  <si>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</si>
  <si>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</si>
  <si>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</si>
  <si>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</si>
  <si>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</si>
  <si>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</si>
  <si>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</si>
  <si>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</si>
  <si>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</si>
  <si>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</si>
  <si>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</si>
  <si>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</si>
  <si>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</si>
  <si>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</si>
  <si>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</si>
  <si>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</si>
  <si>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</si>
  <si>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</si>
  <si>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</si>
  <si>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</si>
  <si>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</si>
  <si>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</si>
  <si>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</si>
  <si>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</si>
  <si>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</si>
  <si>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</si>
  <si>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</si>
  <si>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</si>
  <si>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</si>
  <si>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</si>
  <si>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</si>
  <si>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шт</t>
  </si>
  <si>
    <t>п.п.</t>
  </si>
  <si>
    <t>Показатели</t>
  </si>
  <si>
    <t>Всего</t>
  </si>
  <si>
    <t>СН I</t>
  </si>
  <si>
    <t>СН II</t>
  </si>
  <si>
    <t>от других поставщиков (в т.ч. с оптового рынка)</t>
  </si>
  <si>
    <t>из смежной сети, всего</t>
  </si>
  <si>
    <t>в том числе из сети</t>
  </si>
  <si>
    <t>1.1.</t>
  </si>
  <si>
    <t>1.2.</t>
  </si>
  <si>
    <t xml:space="preserve">Баланс электрической энергии по сетям ВН, СН I, СН II и НН                                                                                                                    </t>
  </si>
  <si>
    <t xml:space="preserve">Поступление эл.энергии в сеть , ВСЕГО </t>
  </si>
  <si>
    <t>от электростанций ПЭ (ЭСО)</t>
  </si>
  <si>
    <t>1.3.</t>
  </si>
  <si>
    <t>1.4.</t>
  </si>
  <si>
    <t xml:space="preserve">поступление эл. энергии от других организаций </t>
  </si>
  <si>
    <t xml:space="preserve">Потери электроэнергии в сети </t>
  </si>
  <si>
    <t>то же в % (п.1.1/п.1.3)</t>
  </si>
  <si>
    <t>Расход электроэнергии на производственные и                                                                                                                                              хозяйственные нужды</t>
  </si>
  <si>
    <t>4.</t>
  </si>
  <si>
    <t xml:space="preserve">Полезный отпуск из сети </t>
  </si>
  <si>
    <t>4.1.</t>
  </si>
  <si>
    <t>в т.ч  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</si>
  <si>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</si>
  <si>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</si>
  <si>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</si>
  <si>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</si>
  <si>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</si>
  <si>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</si>
  <si>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</si>
  <si>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МУП "Электросеть"</t>
  </si>
  <si>
    <t>Тарифная сетка  оплаты труда  МУП "Электросеть"</t>
  </si>
  <si>
    <t>все</t>
  </si>
  <si>
    <t>ВЛ КЛ ТП</t>
  </si>
  <si>
    <t>КЛ ТП</t>
  </si>
  <si>
    <t>КЛ ВЛ</t>
  </si>
  <si>
    <t>КЛ</t>
  </si>
  <si>
    <t>ВЛ</t>
  </si>
  <si>
    <t>КЛ ВЛ ТП</t>
  </si>
  <si>
    <t>Вид работ</t>
  </si>
  <si>
    <t>Машина оперативная</t>
  </si>
  <si>
    <t>Машина диагностическая</t>
  </si>
  <si>
    <t>Экскаватор одноковшовый</t>
  </si>
  <si>
    <t>Экскаватор траншейный</t>
  </si>
  <si>
    <t>Машина кабелеукладочная</t>
  </si>
  <si>
    <t>Опоровоз</t>
  </si>
  <si>
    <t>Автоподъемник</t>
  </si>
  <si>
    <t>Кран автомобильный</t>
  </si>
  <si>
    <t>Трактор гусеничный</t>
  </si>
  <si>
    <t>ВЛ КЛ</t>
  </si>
  <si>
    <t>Машина для кронирования деревьев</t>
  </si>
  <si>
    <t>Машина грузовая</t>
  </si>
  <si>
    <t>Машина самосвал</t>
  </si>
  <si>
    <t>Трактор колесный</t>
  </si>
  <si>
    <t>Прицеп тракторный</t>
  </si>
  <si>
    <t>Автопогрузчик</t>
  </si>
  <si>
    <t>Гидромолот к экскаватору</t>
  </si>
  <si>
    <t>Агрегат электросварочный</t>
  </si>
  <si>
    <t>Компрессорная станция</t>
  </si>
  <si>
    <t>Бензопила</t>
  </si>
  <si>
    <t>Насос погружной</t>
  </si>
  <si>
    <t>Домкрат винтовой д/кабельных барабанов</t>
  </si>
  <si>
    <t>ВЛ ТП</t>
  </si>
  <si>
    <t>Установка для отогрева мерзлого грунта</t>
  </si>
  <si>
    <t>УАЗ 390944</t>
  </si>
  <si>
    <t>АГП 22-04 ЗИЛ 433362</t>
  </si>
  <si>
    <t>ПАЗ 320530</t>
  </si>
  <si>
    <t>Субару Форестер</t>
  </si>
  <si>
    <t>Расчет необходимых машин и механизмов</t>
  </si>
  <si>
    <t>Наименование машин и механизмов</t>
  </si>
  <si>
    <t xml:space="preserve">Количество на 1000 у.е.  объема работ по электрическим сетям в общем кол-ве до 3,2 </t>
  </si>
  <si>
    <t>Количество машин и механизмов к нормативу в условных единицах.</t>
  </si>
  <si>
    <t>Количество необходимых машин и механизмов</t>
  </si>
  <si>
    <t>Машина аварийно ремонтная</t>
  </si>
  <si>
    <t>Мастерская фургон для кабельных работ</t>
  </si>
  <si>
    <t>Машина бурильно -крановая</t>
  </si>
  <si>
    <t>Машина для ремонта эл. сетей</t>
  </si>
  <si>
    <t>Машина для комплексного ремонта воздушных линий</t>
  </si>
  <si>
    <t>итого</t>
  </si>
  <si>
    <t>итого с учетом коэф 1,2</t>
  </si>
  <si>
    <t>Транспортер для кабельных барабан</t>
  </si>
  <si>
    <t>Домкрат винтовой для выправки опор</t>
  </si>
  <si>
    <t>Бетоносместитель</t>
  </si>
  <si>
    <t>Итого механизмы</t>
  </si>
  <si>
    <t>Итого механизмы с учетом коэф 1,2</t>
  </si>
  <si>
    <t xml:space="preserve">Всего </t>
  </si>
  <si>
    <t xml:space="preserve">   Расчет произведен согласно нормативу и методическим указаниям  по определению потребности в машинах и механизмах для эксплуатации и ремонта коммунальных электрических сетей . Утвержденны  приказом Госстроя от 05.09.2000 г. №200</t>
  </si>
  <si>
    <t>для обслуживания электрических сетей  МУП "Электросеть"</t>
  </si>
  <si>
    <t>п./п.</t>
  </si>
  <si>
    <t>Наименование показателя</t>
  </si>
  <si>
    <t>Командировочные расходы</t>
  </si>
  <si>
    <t>5.</t>
  </si>
  <si>
    <t>Услуги связи</t>
  </si>
  <si>
    <t>6.</t>
  </si>
  <si>
    <t>Расходы на услуги вневедомственной охраны</t>
  </si>
  <si>
    <t>8.</t>
  </si>
  <si>
    <t>другие прочие расходы связанные с производством и реализацией</t>
  </si>
  <si>
    <t>почтовые марки конверты</t>
  </si>
  <si>
    <t>9.</t>
  </si>
  <si>
    <t>10.</t>
  </si>
  <si>
    <t>11.</t>
  </si>
  <si>
    <t>№</t>
  </si>
  <si>
    <t>Ед. измер.</t>
  </si>
  <si>
    <t xml:space="preserve">Численность </t>
  </si>
  <si>
    <t xml:space="preserve">Численность ППП </t>
  </si>
  <si>
    <t>Средняя оплата труда</t>
  </si>
  <si>
    <t>2.1.</t>
  </si>
  <si>
    <t xml:space="preserve">Тарифная ставка рабочего 1 разряда </t>
  </si>
  <si>
    <t>руб.</t>
  </si>
  <si>
    <t>2.2.</t>
  </si>
  <si>
    <t>Дефлятор по заработной плате</t>
  </si>
  <si>
    <t>2.3.</t>
  </si>
  <si>
    <t xml:space="preserve">Среднемесячная тарифная ставка 1-го ППП </t>
  </si>
  <si>
    <t>2.4.</t>
  </si>
  <si>
    <t xml:space="preserve">Средняя ступень оплаты </t>
  </si>
  <si>
    <t>2.5.</t>
  </si>
  <si>
    <t>Тарифный коэффициент, соответствующий ступени по оплате труда</t>
  </si>
  <si>
    <t>2.6.</t>
  </si>
  <si>
    <t>Среднемесячная тарифная ставка ППП с учетом дефлятора</t>
  </si>
  <si>
    <t>2.7.</t>
  </si>
  <si>
    <t>Выплаты, связанные с режимом работы, с условиями труда 1 работника</t>
  </si>
  <si>
    <t>2.7.1.</t>
  </si>
  <si>
    <t>процент выплаты</t>
  </si>
  <si>
    <t>%</t>
  </si>
  <si>
    <t>2.7.2.</t>
  </si>
  <si>
    <t>сумма выплат</t>
  </si>
  <si>
    <t>2.8.</t>
  </si>
  <si>
    <t>Текущее премирование</t>
  </si>
  <si>
    <t>2.8.1.</t>
  </si>
  <si>
    <t>2.8.2.</t>
  </si>
  <si>
    <t>2.9.</t>
  </si>
  <si>
    <t>Прочие выплаты ()</t>
  </si>
  <si>
    <t>2.9.1.</t>
  </si>
  <si>
    <t>2.9.2.</t>
  </si>
  <si>
    <t>Прочие выплаты</t>
  </si>
  <si>
    <t>2.10.</t>
  </si>
  <si>
    <t>Вознаграждение за выслугу лет</t>
  </si>
  <si>
    <t>2.10.1.</t>
  </si>
  <si>
    <t>2.10.2.</t>
  </si>
  <si>
    <t>2.11.</t>
  </si>
  <si>
    <t>Выплаты по итогам года</t>
  </si>
  <si>
    <t>2.11.1.</t>
  </si>
  <si>
    <t>2.11.2.</t>
  </si>
  <si>
    <t>2.12.</t>
  </si>
  <si>
    <t>Выплаты по районному коэффициенту и северным надбавкам</t>
  </si>
  <si>
    <t>2.12.1.</t>
  </si>
  <si>
    <t>2.12.2.</t>
  </si>
  <si>
    <t>2.13.</t>
  </si>
  <si>
    <t>Итого среднемесячная оплата труда на 1 работника</t>
  </si>
  <si>
    <t xml:space="preserve">3. </t>
  </si>
  <si>
    <t>Расчет средств на оплату труда ППП (включенного в себестоимость)</t>
  </si>
  <si>
    <t>3.1.</t>
  </si>
  <si>
    <t>тыс.руб.</t>
  </si>
  <si>
    <t>3.2.</t>
  </si>
  <si>
    <t>3.3.</t>
  </si>
  <si>
    <t>Итого средств на оплату труда ППП</t>
  </si>
  <si>
    <t>Ср.месячная заработная плата с учетом проезда в отпуск</t>
  </si>
  <si>
    <t>Рост ср.мес.зарплаты к учтенной в тарифе</t>
  </si>
  <si>
    <t>Смета расходов, связанных с передачей электрической энергии по сетям</t>
  </si>
  <si>
    <t>Сырье, основные материалы</t>
  </si>
  <si>
    <t>из них на ремонт</t>
  </si>
  <si>
    <t xml:space="preserve"> ремонт  ФЗ 261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</si>
  <si>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</si>
  <si>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</si>
  <si>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</si>
  <si>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</si>
  <si>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</si>
  <si>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</si>
  <si>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</si>
  <si>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</si>
  <si>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</si>
  <si>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</si>
  <si>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</si>
  <si>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</si>
  <si>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</si>
  <si>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</si>
  <si>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</si>
  <si>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</si>
  <si>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</si>
  <si>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</si>
  <si>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</si>
  <si>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</si>
  <si>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</si>
  <si>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</si>
  <si>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</si>
  <si>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Другие затраты, относимые на себестоимость продукции,всего 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</si>
  <si>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</si>
  <si>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</si>
  <si>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</si>
  <si>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</si>
  <si>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</si>
  <si>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</si>
  <si>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</si>
  <si>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</si>
  <si>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</si>
  <si>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</si>
  <si>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</si>
  <si>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</si>
  <si>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</si>
  <si>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</si>
  <si>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</si>
  <si>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</si>
  <si>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</si>
  <si>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</si>
  <si>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</si>
  <si>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</si>
  <si>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</si>
  <si>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</si>
  <si>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</si>
  <si>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</si>
  <si>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</si>
  <si>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</si>
  <si>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</si>
  <si>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Стоимость услуг</t>
  </si>
  <si>
    <t>НВВ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</si>
  <si>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</si>
  <si>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</si>
  <si>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</si>
  <si>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</si>
  <si>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</si>
  <si>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</si>
  <si>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</si>
  <si>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</si>
  <si>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услуги банка</t>
  </si>
  <si>
    <t>ИТОГО НЕПОДКОНРОЛЬНЫЕ РАСХОДЫ</t>
  </si>
  <si>
    <t xml:space="preserve"> Расчет источников финансирования капитальных вложений</t>
  </si>
  <si>
    <t xml:space="preserve">1.  </t>
  </si>
  <si>
    <t xml:space="preserve">Объем капитальных вложений - всего       </t>
  </si>
  <si>
    <t xml:space="preserve">в том числе:                           </t>
  </si>
  <si>
    <t xml:space="preserve"> на производственное и научно-техническое развитие</t>
  </si>
  <si>
    <t xml:space="preserve">- на непроизводственное развитие         </t>
  </si>
  <si>
    <t xml:space="preserve">2.  </t>
  </si>
  <si>
    <t xml:space="preserve">Финансирование капитальных вложений      </t>
  </si>
  <si>
    <t xml:space="preserve">из средств - всего                     </t>
  </si>
  <si>
    <t>Амортизационных   отчислений   на   полное</t>
  </si>
  <si>
    <t xml:space="preserve">восстановление основных фондов (100%)    </t>
  </si>
  <si>
    <t xml:space="preserve">использованных средств </t>
  </si>
  <si>
    <t xml:space="preserve">Федерального бюджета                     </t>
  </si>
  <si>
    <t xml:space="preserve">Местного бюджета                         </t>
  </si>
  <si>
    <t>Регионального (республиканского, краевого,</t>
  </si>
  <si>
    <t xml:space="preserve">областного) бюджета                      </t>
  </si>
  <si>
    <t xml:space="preserve">Прочих                                   </t>
  </si>
  <si>
    <t>Средства, полученные от реализации  ценных</t>
  </si>
  <si>
    <t xml:space="preserve">бумаг                                    </t>
  </si>
  <si>
    <t xml:space="preserve">Кредитные средства                       </t>
  </si>
  <si>
    <t xml:space="preserve">Итого по пп. 2.1 - 2.8                   </t>
  </si>
  <si>
    <t xml:space="preserve">Прибыль (п. 1 - п. 2.9):                 </t>
  </si>
  <si>
    <t>Расчет балансовой прибыли, принимаемой при установлении тарифов</t>
  </si>
  <si>
    <t xml:space="preserve"> Прибыль на развитие производства</t>
  </si>
  <si>
    <t>в том числе</t>
  </si>
  <si>
    <t xml:space="preserve">капитальные вложения </t>
  </si>
  <si>
    <t xml:space="preserve"> Прибыль на социальное развитие</t>
  </si>
  <si>
    <t>капитальные вложения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</si>
  <si>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</si>
  <si>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</si>
  <si>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</si>
  <si>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</si>
  <si>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</si>
  <si>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</si>
  <si>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спецпитание работникам с вредными условиями труда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</si>
  <si>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</si>
  <si>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</si>
  <si>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</si>
  <si>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</si>
  <si>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</si>
  <si>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</si>
  <si>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</si>
  <si>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</si>
  <si>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</si>
  <si>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</si>
  <si>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</si>
  <si>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</si>
  <si>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</si>
  <si>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</si>
  <si>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 xml:space="preserve">6. 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</si>
  <si>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</si>
  <si>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</si>
  <si>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</si>
  <si>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</si>
  <si>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Единицы измерения</t>
  </si>
  <si>
    <t>Предприятие</t>
  </si>
  <si>
    <t>Расходы, отнесенные на передачу электрической энергии (п.11 табл.П.1.18.2.)</t>
  </si>
  <si>
    <t>тыс. руб.</t>
  </si>
  <si>
    <t>СН</t>
  </si>
  <si>
    <t>в т.ч. СН1</t>
  </si>
  <si>
    <t>вт.ч. СН2</t>
  </si>
  <si>
    <t>Прибыль, отнесенная на передачу электрической энергии (п.8 табл.П.1.21.3)</t>
  </si>
  <si>
    <t>Рентабельность (п.2 / п.1 * 100%)</t>
  </si>
  <si>
    <t>Необходимая валовая выручка, отнесенная на передачу электрической энергии (п.1 + п.2)</t>
  </si>
  <si>
    <t xml:space="preserve">Среднемесячная за период                                           суммарная заявленная (расчетная) мощность потребителей в максимум нагрузки ОЭС </t>
  </si>
  <si>
    <t>МВт.мес</t>
  </si>
  <si>
    <t>Суммарная по ВН, СН и НН (п.1.1.+ п.1.2.+п.1.3. табл.П1.5.)</t>
  </si>
  <si>
    <t>Суммарная по СН и НН (п.1.2.+п.1.3. табл.П1.5.)</t>
  </si>
  <si>
    <t>Суммарная по СН1, СН2  и НН (п.1.2.+п.1.3. табл.П1.5.)</t>
  </si>
  <si>
    <t>Суммарная по СН2  и НН (п.1.2.+п.1.3. табл.П1.5.)</t>
  </si>
  <si>
    <t>В сети НН (п.1.3. табл.П1.5.)</t>
  </si>
  <si>
    <t>Ставка на содержание электрических сетей  на 1 МВт  заявленной (расчетной) мощности</t>
  </si>
  <si>
    <t>руб/МВт.мес.</t>
  </si>
  <si>
    <t>Таблица № П. 1.25.</t>
  </si>
  <si>
    <t xml:space="preserve">Ставка за электроэнергию тарифа покупки </t>
  </si>
  <si>
    <t>руб/МВтч</t>
  </si>
  <si>
    <t xml:space="preserve">2. </t>
  </si>
  <si>
    <t>Отпуск электрической энергии в сеть с учетом величины сальдо-перетока электроэнергии</t>
  </si>
  <si>
    <t>млн.кВтч</t>
  </si>
  <si>
    <t xml:space="preserve"> в т.ч.СН1</t>
  </si>
  <si>
    <t>в т.ч. СН2</t>
  </si>
  <si>
    <t xml:space="preserve">Потери электрической энергии </t>
  </si>
  <si>
    <t>Полезный отпуск электрической энергии</t>
  </si>
  <si>
    <t>Расходы на компенсацию потерь</t>
  </si>
  <si>
    <t>Ставка на оплату технологического расхода (потерь ) электрической энергии на ее передачу по сетям</t>
  </si>
  <si>
    <t>Основные материалы</t>
  </si>
  <si>
    <t>Вспомогательные материалы (для автотранспорта)</t>
  </si>
  <si>
    <t>Приборы учета</t>
  </si>
  <si>
    <t>Материалы и инструмент для обеспечения электробезопасности</t>
  </si>
  <si>
    <t>1.1. Расчет трудоемкости ремонта</t>
  </si>
  <si>
    <t>Кол-во натуральных единиц, м</t>
  </si>
  <si>
    <t>Периодичность кап. ремонта, лет</t>
  </si>
  <si>
    <t>Протяженность трассы в однолинейном исполнении, в ремонте, м ((гр.1/гр2)*кол-во линий ЛЭП)</t>
  </si>
  <si>
    <t>Сечение провода, кв.мм</t>
  </si>
  <si>
    <t>Трудоемкость одного кап. Ремонта, чел.-ч.</t>
  </si>
  <si>
    <t>Трудоемкость всего, чел.-ч. (гр.3/1000 * гр.5)</t>
  </si>
  <si>
    <t>до 35</t>
  </si>
  <si>
    <t>95 и более</t>
  </si>
  <si>
    <t>ИТОГО:</t>
  </si>
  <si>
    <t>Для ВЛ 6-35 кВ вводится поправочный коэффициент 1,3</t>
  </si>
  <si>
    <t>1.2. Расчет расхода материалов и запасных частей</t>
  </si>
  <si>
    <t>Материал</t>
  </si>
  <si>
    <t>Норма расхода на 100 чел.-ч. трудоемкости ремонта</t>
  </si>
  <si>
    <t>Трудоемкость всего, чел.-ч. (стр.ИТОГО табл 1.1.)</t>
  </si>
  <si>
    <t>Расход материалов (гр.2/100*гр 3)</t>
  </si>
  <si>
    <t>Цена, руб.</t>
  </si>
  <si>
    <t>Стоимость, руб. (гр.4*гр.5)</t>
  </si>
  <si>
    <t>Провод неизолированный, кг</t>
  </si>
  <si>
    <t>Изоляторы, штырьевые</t>
  </si>
  <si>
    <t>Изоляторы, подвесные</t>
  </si>
  <si>
    <t>Крюки для изоляторов, шт</t>
  </si>
  <si>
    <t>Сталь сортовая, кг</t>
  </si>
  <si>
    <t>Проволока стальная мягкая, кг</t>
  </si>
  <si>
    <t>Опора деревянная, шт</t>
  </si>
  <si>
    <t>до 50% всех опор трассы, выводимой в кап. ремонт</t>
  </si>
  <si>
    <t>Ж/б пасынок</t>
  </si>
  <si>
    <t>ИТОГО текущий ремонт:</t>
  </si>
  <si>
    <t>2. Воздушные линиии  напряжением до и выше 1000 В на металлических и железобетонных опорах на 1000 м однолинейного провода сечением, кв. мм</t>
  </si>
  <si>
    <t>2.1. Расчет трудоемкости ремонта</t>
  </si>
  <si>
    <t>Протяженность трассы в однолинейном исполнении, в ремонте, м ((гр.1/гр.2)*кол-во линий ЛЭП)</t>
  </si>
  <si>
    <t>2.2. Расчет расхода материалов и запасных частей</t>
  </si>
  <si>
    <t>Трудоемкость всего, чел.-ч. (стр.ИТОГО табл 2.1.)</t>
  </si>
  <si>
    <t>Опора, шт</t>
  </si>
  <si>
    <t>3. Кабельные линии напряжением до и выше 1000 В, проложенные в земле, на 1000 м провода сечением, кв. мм</t>
  </si>
  <si>
    <t>3.1. Расчет трудоемкости ремонта</t>
  </si>
  <si>
    <t>50-70</t>
  </si>
  <si>
    <t>95-120</t>
  </si>
  <si>
    <t>150-185</t>
  </si>
  <si>
    <t>3.2. Расчет расхода материалов и запасных частей</t>
  </si>
  <si>
    <t>Трудоемкость всего, чел.-ч. (стр.ИТОГО табл 3.1.)</t>
  </si>
  <si>
    <t>Кабель всех назначений, м</t>
  </si>
  <si>
    <t>Трубы газовые, кг</t>
  </si>
  <si>
    <t>Электроды, кг</t>
  </si>
  <si>
    <t>Кабельные воронки, шт</t>
  </si>
  <si>
    <t>Кабельные наконечники, шт</t>
  </si>
  <si>
    <t>Муфты соединительные, шт</t>
  </si>
  <si>
    <t>8 шт на 1000м</t>
  </si>
  <si>
    <t>ИТОГО текущий  ремонт</t>
  </si>
  <si>
    <t>4. Электрические аппараты</t>
  </si>
  <si>
    <t>4.1. Расчет трудоемкости ремонта</t>
  </si>
  <si>
    <t>Трудоемкость одного кап. ремонта, чел.-ч.</t>
  </si>
  <si>
    <t>Трудоемкость всего, чел.-ч. (гр.2/гр.3*гр.4)</t>
  </si>
  <si>
    <t>Выключатели масляные до 10 кВ</t>
  </si>
  <si>
    <t>Выключ. электромагнитные 10кВ</t>
  </si>
  <si>
    <t>Выключатели нагрузки, до 400А</t>
  </si>
  <si>
    <t>Переключатели типа РНО, РНТ</t>
  </si>
  <si>
    <t>4.2. Расчет расхода материалов и запасных частей</t>
  </si>
  <si>
    <t>Трудоемкость всего, чел.-ч. (стр.ИТОГО табл 4.1.)</t>
  </si>
  <si>
    <t>Сталь мелкосортовая,кг</t>
  </si>
  <si>
    <t>Крепежные изделия,кг</t>
  </si>
  <si>
    <t>Медный прокат,кг</t>
  </si>
  <si>
    <t>Латунный прокат,кг</t>
  </si>
  <si>
    <t>Картон электроизоляционный,кг</t>
  </si>
  <si>
    <t>Гетинакс,кг</t>
  </si>
  <si>
    <t>Текстолит,кг</t>
  </si>
  <si>
    <t>Лента изоляционная,кг</t>
  </si>
  <si>
    <t>Лаки электроизоляционные,кг</t>
  </si>
  <si>
    <t>Краски, эмали, лаки,кг</t>
  </si>
  <si>
    <t>Масло трансформаторное,кг</t>
  </si>
  <si>
    <t>Бензин авиационный,кг</t>
  </si>
  <si>
    <t>Изоляторы,шт</t>
  </si>
  <si>
    <t>Материал обтирочный,кг</t>
  </si>
  <si>
    <t>5. Силовые трансформаторы</t>
  </si>
  <si>
    <t>5.1. Расчет трудоемкости ремонта</t>
  </si>
  <si>
    <t>Мощность трансформатора, кВА</t>
  </si>
  <si>
    <t>5.2. Расчет расхода материалов и запасных частей</t>
  </si>
  <si>
    <t>Трудоемкость всего, чел.-ч. (стр.ИТОГО табл 5.1.)</t>
  </si>
  <si>
    <t>Сталь сортовая,кг</t>
  </si>
  <si>
    <t>Швеллеры,кг</t>
  </si>
  <si>
    <t>Электроды,кг</t>
  </si>
  <si>
    <t>Медь шинная,кг</t>
  </si>
  <si>
    <t>Лента медная,кг</t>
  </si>
  <si>
    <t>Оловянно - свинцовый припой,кг</t>
  </si>
  <si>
    <t>Провод установочный,м</t>
  </si>
  <si>
    <t>Провод медный,кг</t>
  </si>
  <si>
    <t>Бумага кабельная,кг</t>
  </si>
  <si>
    <t>Лакоткань,м</t>
  </si>
  <si>
    <t>Лента киперная,м</t>
  </si>
  <si>
    <t>Лента тафтяная,м</t>
  </si>
  <si>
    <t>Лента асбестовая,кг</t>
  </si>
  <si>
    <t>Эмали грунтовые,кг</t>
  </si>
  <si>
    <t>Растворители,кг</t>
  </si>
  <si>
    <t>Резина маслостойкая,кг</t>
  </si>
  <si>
    <t>Селикагель,кг</t>
  </si>
  <si>
    <t>Предохранители ПН-2 100А</t>
  </si>
  <si>
    <t>Предохранители ПК-50</t>
  </si>
  <si>
    <t>Рубильник РПС 250А</t>
  </si>
  <si>
    <t>ИТОГО текущий ремонт</t>
  </si>
  <si>
    <t>ИТОГО Расходы по  статье "Сырье и материалы"</t>
  </si>
  <si>
    <t>предприятие</t>
  </si>
  <si>
    <t xml:space="preserve">Материалы всего, в т. ч. </t>
  </si>
  <si>
    <t>текущий  ремонт</t>
  </si>
  <si>
    <t>пополнение страхового запаса</t>
  </si>
  <si>
    <t>35 % от расходов на текущий ремонт в соответствии с п. 7.5.4.  ЧАСТЬ 2 Типовая номенклатура ремонтных работ Справочник "Производственная эксплуатация , техническое обслуживание и ремонт энергетического оборудования".</t>
  </si>
  <si>
    <t xml:space="preserve">Итого </t>
  </si>
  <si>
    <t>исп.Сорокина Т.А.</t>
  </si>
  <si>
    <t>т.7-13-68</t>
  </si>
  <si>
    <t>УАЗЫ</t>
  </si>
  <si>
    <t xml:space="preserve">наименование </t>
  </si>
  <si>
    <t>количество</t>
  </si>
  <si>
    <t>Стартер</t>
  </si>
  <si>
    <t>Шт.</t>
  </si>
  <si>
    <t>Трамблер</t>
  </si>
  <si>
    <t>Карбюратор</t>
  </si>
  <si>
    <t>Бензонасос</t>
  </si>
  <si>
    <t>Рессоры УАЗ 31512</t>
  </si>
  <si>
    <t>Поршневая группа</t>
  </si>
  <si>
    <t>Свечи зажигания</t>
  </si>
  <si>
    <t>Коробка передач</t>
  </si>
  <si>
    <t>Лампочки одноконтактные и двухконтактные</t>
  </si>
  <si>
    <t>Наконечники рулевых тяг</t>
  </si>
  <si>
    <t>Ремкомплект тормозных колодок</t>
  </si>
  <si>
    <t>Корзина сцепления</t>
  </si>
  <si>
    <t>Сальники,монжеты,подшипники,шестерни,втулки рессорные.</t>
  </si>
  <si>
    <t>компл</t>
  </si>
  <si>
    <t>15.</t>
  </si>
  <si>
    <t>Карданный вал передний</t>
  </si>
  <si>
    <t>16.</t>
  </si>
  <si>
    <t>Карданный вал задний</t>
  </si>
  <si>
    <t>17.</t>
  </si>
  <si>
    <t>Крестовины карданного вала</t>
  </si>
  <si>
    <t>18.</t>
  </si>
  <si>
    <t>Подушки рессорные</t>
  </si>
  <si>
    <t>19.</t>
  </si>
  <si>
    <t>Шкворня (комплект)</t>
  </si>
  <si>
    <t>20.</t>
  </si>
  <si>
    <t>Комплект клапанов</t>
  </si>
  <si>
    <t>21.</t>
  </si>
  <si>
    <t>Помпа УАЗ</t>
  </si>
  <si>
    <t>22.</t>
  </si>
  <si>
    <t xml:space="preserve">Шины </t>
  </si>
  <si>
    <t>23.</t>
  </si>
  <si>
    <t>Рулевые пальцы</t>
  </si>
  <si>
    <t>24.</t>
  </si>
  <si>
    <t>Рулевая колонка</t>
  </si>
  <si>
    <t>25.</t>
  </si>
  <si>
    <t>Генератор</t>
  </si>
  <si>
    <t>26.</t>
  </si>
  <si>
    <t>Тормозные накладки</t>
  </si>
  <si>
    <t>27.</t>
  </si>
  <si>
    <t>Тормозные цилиндры задние</t>
  </si>
  <si>
    <t>28.</t>
  </si>
  <si>
    <t>Тормозные цилиндры передние</t>
  </si>
  <si>
    <t>29.</t>
  </si>
  <si>
    <t xml:space="preserve">Крышка коробки передач УАЗ </t>
  </si>
  <si>
    <t>31.</t>
  </si>
  <si>
    <t>Амортизаторы</t>
  </si>
  <si>
    <t>Спец машины</t>
  </si>
  <si>
    <t>ЗИЛ-130 -131</t>
  </si>
  <si>
    <t>Распределитель зажигания</t>
  </si>
  <si>
    <t>Пальцы рулевые</t>
  </si>
  <si>
    <t>Глушитель</t>
  </si>
  <si>
    <t>Палец рессорный</t>
  </si>
  <si>
    <t>Плунжерная группа</t>
  </si>
  <si>
    <t>Подвесной подшипник</t>
  </si>
  <si>
    <t>Помпа</t>
  </si>
  <si>
    <t>Шины Зил 130</t>
  </si>
  <si>
    <t>Шины Зил 131</t>
  </si>
  <si>
    <t>Турбина ТК-8</t>
  </si>
  <si>
    <t>Гидроусилитель</t>
  </si>
  <si>
    <t>ПАЗ</t>
  </si>
  <si>
    <t>Шины,</t>
  </si>
  <si>
    <t>Ремни</t>
  </si>
  <si>
    <t>цена</t>
  </si>
  <si>
    <t>стоимость</t>
  </si>
  <si>
    <t>пара</t>
  </si>
  <si>
    <t xml:space="preserve">Расчет потребности масел и спец. жидкостей </t>
  </si>
  <si>
    <t>Стоимость масел:</t>
  </si>
  <si>
    <t>М- моторное</t>
  </si>
  <si>
    <t>за литр</t>
  </si>
  <si>
    <t>С - специальное</t>
  </si>
  <si>
    <t xml:space="preserve">Т - трансмиссионное </t>
  </si>
  <si>
    <t xml:space="preserve">П - пластичные смазки </t>
  </si>
  <si>
    <t>за кг.</t>
  </si>
  <si>
    <t>Транспорт</t>
  </si>
  <si>
    <t>Масло</t>
  </si>
  <si>
    <t>Расход топлива в год, л.</t>
  </si>
  <si>
    <t>Норма на 100л.</t>
  </si>
  <si>
    <t>Сумма, тыс.руб</t>
  </si>
  <si>
    <t>Итого, сумма тыс. руб</t>
  </si>
  <si>
    <t>М</t>
  </si>
  <si>
    <t>Т</t>
  </si>
  <si>
    <t>С</t>
  </si>
  <si>
    <t>П</t>
  </si>
  <si>
    <t>УАЗ -31512 (449)</t>
  </si>
  <si>
    <t>УАЗ -315195</t>
  </si>
  <si>
    <t>ЗИЛ - 130 431410</t>
  </si>
  <si>
    <t>БКМ-317 на базе ГАЗ -3308</t>
  </si>
  <si>
    <t>СКБМ на базе ЗИЛ-131</t>
  </si>
  <si>
    <t>УАЗ - 220694</t>
  </si>
  <si>
    <t>ОХР</t>
  </si>
  <si>
    <t>ПАЗ - 320530</t>
  </si>
  <si>
    <t>Субару-Форестер</t>
  </si>
  <si>
    <t>Стоимость спец. жидкостей</t>
  </si>
  <si>
    <t>Т- тосол</t>
  </si>
  <si>
    <t>руб. за литр</t>
  </si>
  <si>
    <t>Т\Ж-тормозн.жидк</t>
  </si>
  <si>
    <t>Э\Л -электролит</t>
  </si>
  <si>
    <t>Транспортировка</t>
  </si>
  <si>
    <t>Спец. Жидкость</t>
  </si>
  <si>
    <t>Расход</t>
  </si>
  <si>
    <t>Цена за 1 литр*на расход,тыс.руб</t>
  </si>
  <si>
    <t>Стоимость тыс.руб</t>
  </si>
  <si>
    <t>Т\Ж</t>
  </si>
  <si>
    <t>Э\Л</t>
  </si>
  <si>
    <t>УАЗ - 31519</t>
  </si>
  <si>
    <t>Бензин АИ 80</t>
  </si>
  <si>
    <t>Бензин АИ 92</t>
  </si>
  <si>
    <t>марка авто</t>
  </si>
  <si>
    <t>топливо</t>
  </si>
  <si>
    <t>норма л/100км</t>
  </si>
  <si>
    <t>норма л/час</t>
  </si>
  <si>
    <t>расход</t>
  </si>
  <si>
    <t>т.руб.</t>
  </si>
  <si>
    <t>топлива в год</t>
  </si>
  <si>
    <t>стоимость всего</t>
  </si>
  <si>
    <t>АИ 80</t>
  </si>
  <si>
    <t>УАЗ 31512 (449)</t>
  </si>
  <si>
    <t>УАЗ 315195</t>
  </si>
  <si>
    <t>ЗИЛ 130 4314 10</t>
  </si>
  <si>
    <t>БКМ 317 на базе ГАЗ 3308</t>
  </si>
  <si>
    <t>СКБМ на базе ЗИЛ131</t>
  </si>
  <si>
    <t>АИ 92</t>
  </si>
  <si>
    <t>УАЗ  220694</t>
  </si>
  <si>
    <t>680/175</t>
  </si>
  <si>
    <t xml:space="preserve">итого </t>
  </si>
  <si>
    <t>Рессоры УАЗ 220694</t>
  </si>
  <si>
    <t xml:space="preserve">Аккумулятор </t>
  </si>
  <si>
    <t>Аккумулятор</t>
  </si>
  <si>
    <t xml:space="preserve">цена </t>
  </si>
  <si>
    <t>на передачу электрической энергии  по МУП "Электросеть"</t>
  </si>
  <si>
    <t>приообретение подарков к юбилеям</t>
  </si>
  <si>
    <t>Диэлектрические перчатки</t>
  </si>
  <si>
    <t>Диэлектрические боты</t>
  </si>
  <si>
    <t>Защитные ограждения</t>
  </si>
  <si>
    <t>Плакаты и знаки эл безопасности</t>
  </si>
  <si>
    <t>Изолирующая штанга</t>
  </si>
  <si>
    <t>Изолирующие клещи на напряжение выше 1000 В</t>
  </si>
  <si>
    <t>Изолирующие клещи на напряжение до 1000 В</t>
  </si>
  <si>
    <t>изолирующий инструмент</t>
  </si>
  <si>
    <t xml:space="preserve">переносные заземления </t>
  </si>
  <si>
    <t>диэлектрические ковры и изолирующие накладки</t>
  </si>
  <si>
    <t>плакаты и знаки безопасности</t>
  </si>
  <si>
    <t>респираторы</t>
  </si>
  <si>
    <t>Оперативно выездные бригады</t>
  </si>
  <si>
    <t>Указатель напряжения  до и выше 1000В</t>
  </si>
  <si>
    <t>Сигнализаторы напряжения индивидуальные</t>
  </si>
  <si>
    <t>электроизмерительные клещи на напряжение до и выше 1000 В</t>
  </si>
  <si>
    <t>Указатель напряжения для проверки  совпадения фаз</t>
  </si>
  <si>
    <t>предохранительный пояс</t>
  </si>
  <si>
    <t>Бригада эксплуатационного обслуживания подстанций ВЛ, КЛ</t>
  </si>
  <si>
    <t>Изолирующая штанга (оперативные , универсальные, измерительные)</t>
  </si>
  <si>
    <t>Указатель напряжения  выше 1000 В</t>
  </si>
  <si>
    <t>Указатель напряжения  до 1000 В</t>
  </si>
  <si>
    <t>предохранительный пояс и страховочный канат</t>
  </si>
  <si>
    <t>защитный щиток для электрогазосварщика</t>
  </si>
  <si>
    <t>защитные каски</t>
  </si>
  <si>
    <t>когти монтерсние КМ 1</t>
  </si>
  <si>
    <t>лазы универсальные ЛУ-2</t>
  </si>
  <si>
    <t>Трансформаторные  подстанции</t>
  </si>
  <si>
    <t>Коврик диэлектрический</t>
  </si>
  <si>
    <t>спец одежда</t>
  </si>
  <si>
    <t>комплект одежды</t>
  </si>
  <si>
    <t>комплект летний</t>
  </si>
  <si>
    <t>комплект зимний</t>
  </si>
  <si>
    <t>эл/ монтеры, водители, мастер</t>
  </si>
  <si>
    <t>сапоги зимние</t>
  </si>
  <si>
    <t>сапоги летние</t>
  </si>
  <si>
    <t>сварщик</t>
  </si>
  <si>
    <t xml:space="preserve">Ср.месячная заработная плата учтенная </t>
  </si>
  <si>
    <t>Директор МУП "Электросеть"                          Измайлова Л.М.</t>
  </si>
  <si>
    <t>Работы и услуги производственного  характера</t>
  </si>
  <si>
    <t>Вспомогательные материалы (авто запчасти,приборы учета, материала электробезопасности)</t>
  </si>
  <si>
    <t>Таблица № 1.20</t>
  </si>
  <si>
    <t>Необходимая валовая выручка на содержание электрических сетей МУП "Электросеть"</t>
  </si>
  <si>
    <t>Расчет ставки  по содержанию электрических сетей  МУП "Электросеть"</t>
  </si>
  <si>
    <t>таб 1.21</t>
  </si>
  <si>
    <t>п/п</t>
  </si>
  <si>
    <t>Выбытие основных производственных фондов</t>
  </si>
  <si>
    <t>Средняя норма амортизации</t>
  </si>
  <si>
    <t>Стоимость на</t>
  </si>
  <si>
    <t>Ввод основ-</t>
  </si>
  <si>
    <t xml:space="preserve">Выбытие </t>
  </si>
  <si>
    <t>Стоимость</t>
  </si>
  <si>
    <t xml:space="preserve">Средне- </t>
  </si>
  <si>
    <t>Аморти-</t>
  </si>
  <si>
    <t xml:space="preserve">начало   </t>
  </si>
  <si>
    <t>ных произ-</t>
  </si>
  <si>
    <t>основных</t>
  </si>
  <si>
    <t>на конец</t>
  </si>
  <si>
    <t xml:space="preserve">годовая </t>
  </si>
  <si>
    <t xml:space="preserve">зация </t>
  </si>
  <si>
    <t>регулируемого</t>
  </si>
  <si>
    <t>водственных</t>
  </si>
  <si>
    <t>производ-</t>
  </si>
  <si>
    <t xml:space="preserve">регули- </t>
  </si>
  <si>
    <t xml:space="preserve">периода  </t>
  </si>
  <si>
    <t xml:space="preserve">фондов    </t>
  </si>
  <si>
    <t>ственных</t>
  </si>
  <si>
    <t xml:space="preserve">руемого </t>
  </si>
  <si>
    <t xml:space="preserve">фондов  </t>
  </si>
  <si>
    <t xml:space="preserve">периода </t>
  </si>
  <si>
    <t>1. Линии электропередач</t>
  </si>
  <si>
    <t xml:space="preserve">ВЛЭП                  </t>
  </si>
  <si>
    <t>СН11</t>
  </si>
  <si>
    <t xml:space="preserve">КЛЭП                  </t>
  </si>
  <si>
    <t xml:space="preserve">2. Подстанции         </t>
  </si>
  <si>
    <t>3. Прочие (автотранспорт)</t>
  </si>
  <si>
    <t>Всего (стр. 1 + стр. 2)</t>
  </si>
  <si>
    <t>балансовая стоимость</t>
  </si>
  <si>
    <t xml:space="preserve">СН11 </t>
  </si>
  <si>
    <t xml:space="preserve">НН </t>
  </si>
  <si>
    <t>4. Производственные здания</t>
  </si>
  <si>
    <t>основание</t>
  </si>
  <si>
    <t>Работа с докуметацией по отправке писем, закупка почтовых марок,отправления бандеролей.</t>
  </si>
  <si>
    <t>Расходы на  информ услуги</t>
  </si>
  <si>
    <t>Директор МУП "Электросеть"                                           Измайлова Л.М.</t>
  </si>
  <si>
    <t>2016 год</t>
  </si>
  <si>
    <t>ц. 1 л. 2016 год</t>
  </si>
  <si>
    <t>рублей</t>
  </si>
  <si>
    <t>оплата проезда к месту отдыха иждевенцы дети</t>
  </si>
  <si>
    <t>"О государственных гарантиях и компенсациях для лиц  работающих и проживающих в районах крайнего севера и приравненных к ним местностях "</t>
  </si>
  <si>
    <t>Проезд в отпуск  1 раз в 2 года  согласно ФЗ №50 от 02.04.2014 года.</t>
  </si>
  <si>
    <t xml:space="preserve">Расчет расходов на оплату труда </t>
  </si>
  <si>
    <t>комп</t>
  </si>
  <si>
    <t>переносные заземления для ВЛ</t>
  </si>
  <si>
    <t>инструмент для ремонта кабельных линий</t>
  </si>
  <si>
    <t>комплект ВАФ</t>
  </si>
  <si>
    <t>тепловизор</t>
  </si>
  <si>
    <t xml:space="preserve">Средства на  страхование автотехники </t>
  </si>
  <si>
    <t>Разработанно в соответствии  с рекомендациями о едином порядке оплаты труда по тарифным ставкам работников электроэнергетики  с учетом изменений и дополнений от 10 04.2008 г.</t>
  </si>
  <si>
    <t>уборщик  служебных помещений</t>
  </si>
  <si>
    <t>фельдшер</t>
  </si>
  <si>
    <t>халат медицинский, головной убор</t>
  </si>
  <si>
    <t>халат, головной убор,перчатки резиновые,обувь</t>
  </si>
  <si>
    <t>белье нательное</t>
  </si>
  <si>
    <t>костюм влаговетрозащитный</t>
  </si>
  <si>
    <t>рукавицы брезентовые, с наладонником,</t>
  </si>
  <si>
    <t>сапоги резиновые</t>
  </si>
  <si>
    <t>плащ влаговетрозащитный</t>
  </si>
  <si>
    <t>Экономист МУП "Электросеть"</t>
  </si>
  <si>
    <t>шт.</t>
  </si>
  <si>
    <t>1</t>
  </si>
  <si>
    <t>проезд к месту отдыха</t>
  </si>
  <si>
    <t>Расчетный период</t>
  </si>
  <si>
    <t>Величина заявленной мощности МВ т</t>
  </si>
  <si>
    <t>Ставка руб. /МВт мес.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</si>
  <si>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</si>
  <si>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</si>
  <si>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</si>
  <si>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</si>
  <si>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</si>
  <si>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</si>
  <si>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</si>
  <si>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</si>
  <si>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</si>
  <si>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</si>
  <si>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</si>
  <si>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</si>
  <si>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</si>
  <si>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</si>
  <si>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Норматив потерь э/э в сетях ФСК %</t>
  </si>
  <si>
    <t>Объем потерь э/э в сетях ФСК %</t>
  </si>
  <si>
    <t>Стоимость потерь э/э в рублях</t>
  </si>
  <si>
    <t xml:space="preserve">Плановая стоимость услуг по передаче электрической энергии </t>
  </si>
  <si>
    <t>Договоры на обязательное обучение персонала,а также  предложения  и прайс листы к семенарам и курсам представлен расчет</t>
  </si>
  <si>
    <t>в тыс. руб.</t>
  </si>
  <si>
    <t>Ежегодное повышение квалификации водителей</t>
  </si>
  <si>
    <t>Итого в тыс руб.</t>
  </si>
  <si>
    <t xml:space="preserve">Долевое участие в содержании и ремонте общедомового имущества </t>
  </si>
  <si>
    <t>расчет</t>
  </si>
  <si>
    <t xml:space="preserve">Расчет по прочим  расходам предприятия к таблице  1.15 </t>
  </si>
  <si>
    <t>ИТОГО</t>
  </si>
  <si>
    <t>Экономист МУП "Электросеть"                             Вернигорова А.Г.</t>
  </si>
  <si>
    <t>Исудзу эльф</t>
  </si>
  <si>
    <t>Д/т</t>
  </si>
  <si>
    <t>Прием в сеть э/э МВ т</t>
  </si>
  <si>
    <t>Водитель Исудзу Эльф</t>
  </si>
  <si>
    <t>Машинист Трактора " Беларус"</t>
  </si>
  <si>
    <t>таб.1.16</t>
  </si>
  <si>
    <t>Подготовка кадров(семинары ,курсы)</t>
  </si>
  <si>
    <t>Договор  С/682860/010102/241-У/2015 от 27,01,2015</t>
  </si>
  <si>
    <t>( 4 температурная зона)</t>
  </si>
  <si>
    <t>1. Расчет нормативной численности руководителей, специалистов, и служащих.</t>
  </si>
  <si>
    <t>Наименование функций управления</t>
  </si>
  <si>
    <t>Фактор влияния</t>
  </si>
  <si>
    <t>Количественное значение фактора</t>
  </si>
  <si>
    <t>Нормативная численность, чел.</t>
  </si>
  <si>
    <t>№ раздела сборника</t>
  </si>
  <si>
    <t>Нормативная численность на единицу</t>
  </si>
  <si>
    <t>1. Общее руководство</t>
  </si>
  <si>
    <t>Среднесписочная численность работников предприятия</t>
  </si>
  <si>
    <t>до 100</t>
  </si>
  <si>
    <t>2.1.1.</t>
  </si>
  <si>
    <t>2. Бухгалтерский учет и финансовая деятельность</t>
  </si>
  <si>
    <t>3. Комплектование и учет кадров</t>
  </si>
  <si>
    <t>4. Материально-техническое снабжение и хозяйственное обслуживание</t>
  </si>
  <si>
    <t>7. Производственно-техническая деятельность</t>
  </si>
  <si>
    <t>8. Организация охраны труда и техники безопасности</t>
  </si>
  <si>
    <t>9. Правовое обслуживание</t>
  </si>
  <si>
    <t>10.Технико-экономическое планирование, организация труда и заработной платы</t>
  </si>
  <si>
    <t>Количество абонентов(потребителей)</t>
  </si>
  <si>
    <t>2.1.2.</t>
  </si>
  <si>
    <t>12. Програмное обеспечение и системное администрирование вычислительной техники</t>
  </si>
  <si>
    <t>Количество компьютеров</t>
  </si>
  <si>
    <t>2.1.3.</t>
  </si>
  <si>
    <t>13. Оперативно-диспетчерское обслуживание</t>
  </si>
  <si>
    <t>Количество условных единиц</t>
  </si>
  <si>
    <t>Усл.ед.</t>
  </si>
  <si>
    <t>2.1.4.+ примечание  п.2</t>
  </si>
  <si>
    <t>до 3200 у.е.   1 чел.</t>
  </si>
  <si>
    <t>14. Организация ремонтно-эксплуатационного обслуживания, средств релейной защиты, автоматики,измерений,телемеханики, электронно-информационных устройств,испытания защитных средств, эксплуатации средств связи</t>
  </si>
  <si>
    <t>Количество обслуживаемых электроподстанций, МТП, РП,ТП</t>
  </si>
  <si>
    <t>2.1.5.</t>
  </si>
  <si>
    <t>15. Организация ремонта силовых трансформаторов, электротехнического оборудования и масляное хозяйство</t>
  </si>
  <si>
    <t>Количество трансформаторов, находящихся в эксплуатации</t>
  </si>
  <si>
    <t>2.1.6.</t>
  </si>
  <si>
    <t>до 250</t>
  </si>
  <si>
    <t>16. Организация ремонтно-эксплуатационного обслуживания оборудования,электроэнергетических устройств и сооружений</t>
  </si>
  <si>
    <t>Район № 1</t>
  </si>
  <si>
    <t>2.1.7.</t>
  </si>
  <si>
    <t>Объем работы района</t>
  </si>
  <si>
    <t xml:space="preserve">ИТОГО </t>
  </si>
  <si>
    <t>Всего с учетом  коэффициента невыходов =1,18</t>
  </si>
  <si>
    <t xml:space="preserve">2.Определение численности рабочих </t>
  </si>
  <si>
    <t>( Местность,приравненная к районам Крайнего Севера; поправочный коэффициент 1,18)</t>
  </si>
  <si>
    <t>Количественное значение</t>
  </si>
  <si>
    <t>2</t>
  </si>
  <si>
    <t>3</t>
  </si>
  <si>
    <t xml:space="preserve">Воздушная ЛЭП напряжением 35 кВ </t>
  </si>
  <si>
    <t>2.2.1.</t>
  </si>
  <si>
    <t>2.2.2.</t>
  </si>
  <si>
    <t>Концевые кабельные заделки воронки)</t>
  </si>
  <si>
    <t>2.2.3.</t>
  </si>
  <si>
    <t>2.2.4.</t>
  </si>
  <si>
    <t xml:space="preserve">Распределительные и фидерные пункты </t>
  </si>
  <si>
    <t>2.2.5.</t>
  </si>
  <si>
    <t>2.2.6.</t>
  </si>
  <si>
    <t>Количество абонентов (потребителей) бытового сектора</t>
  </si>
  <si>
    <t>2.2.7.</t>
  </si>
  <si>
    <t>-одноэтажная застройка</t>
  </si>
  <si>
    <t>-многоэтажная застройка</t>
  </si>
  <si>
    <t>Количество прочих абонентов (потребителей)</t>
  </si>
  <si>
    <t>2.2.8.</t>
  </si>
  <si>
    <t>2.2.10.</t>
  </si>
  <si>
    <t>усл. ед.</t>
  </si>
  <si>
    <t>2.2.12.</t>
  </si>
  <si>
    <t>3.Определение численности работников, обслуживающих нормативное количество машин и механизмов</t>
  </si>
  <si>
    <t>4.Определение численности МОП</t>
  </si>
  <si>
    <t>ИТОГО общая численность рабочих , работников автохозяйства и МОП</t>
  </si>
  <si>
    <t xml:space="preserve">Расчет произведен  согласно Рекомендаций по нормированию труда работников энергетического хозяйства, часть 3 </t>
  </si>
  <si>
    <t>А.Г.Вернигорова</t>
  </si>
  <si>
    <t>" ______  " _____________   20___год</t>
  </si>
  <si>
    <t>С-но специальной оценке условий труда</t>
  </si>
  <si>
    <t>ночные. с/урочные .праздничные</t>
  </si>
  <si>
    <t>учебный оттпуск,разъездной,б/лист</t>
  </si>
  <si>
    <t>Вернигорова А.Г.</t>
  </si>
  <si>
    <t xml:space="preserve">Экономист                     </t>
  </si>
  <si>
    <t>шапка зимняя</t>
  </si>
  <si>
    <t>Спецодежда</t>
  </si>
  <si>
    <t xml:space="preserve">Охрана труда в т.ч. </t>
  </si>
  <si>
    <t>ГСМ</t>
  </si>
  <si>
    <t>2016 г. план</t>
  </si>
  <si>
    <t>авансовые отчеты</t>
  </si>
  <si>
    <t>ВСЕГО</t>
  </si>
  <si>
    <t>Пункт назначения</t>
  </si>
  <si>
    <t>суточные</t>
  </si>
  <si>
    <t>Расчет суточных</t>
  </si>
  <si>
    <t>проезд</t>
  </si>
  <si>
    <t>650 руб.  день</t>
  </si>
  <si>
    <t>Повышение квалификации работников</t>
  </si>
  <si>
    <t>2. пром. Безопасность</t>
  </si>
  <si>
    <t>3. охрана труда</t>
  </si>
  <si>
    <t>Проезд 2800*2*5 чел. = 28000 руб.</t>
  </si>
  <si>
    <t>п. Высокогорный</t>
  </si>
  <si>
    <t>П. Като</t>
  </si>
  <si>
    <t>Отчеты по работе</t>
  </si>
  <si>
    <t>Семинары, курсы.</t>
  </si>
  <si>
    <t>1. Обучение</t>
  </si>
  <si>
    <t>П. Датта</t>
  </si>
  <si>
    <t>Программа 1С:Бухгалтерия с ИТС  2 раза в год</t>
  </si>
  <si>
    <t>МУП "Электросеть" 2016  год.</t>
  </si>
  <si>
    <t>9000 руб.бензин*2 раз=18000 руб.</t>
  </si>
  <si>
    <t>п.Кенада</t>
  </si>
  <si>
    <t>Проезд к месту работы и обратно</t>
  </si>
  <si>
    <t>Выполнение ремонтных работ, доставка материалов, необх. Для ремонт.работ</t>
  </si>
  <si>
    <t>350 руб.</t>
  </si>
  <si>
    <t xml:space="preserve">Эконимист                         </t>
  </si>
  <si>
    <t>А.Г. Вернигорова</t>
  </si>
  <si>
    <t>г.Москва</t>
  </si>
  <si>
    <t>Спец.средства для уборки помещений</t>
  </si>
  <si>
    <t>Сумма</t>
  </si>
  <si>
    <t>СМС</t>
  </si>
  <si>
    <t xml:space="preserve">Тряпка для пола </t>
  </si>
  <si>
    <t xml:space="preserve">Перчатки </t>
  </si>
  <si>
    <t>Ведро пластиковое</t>
  </si>
  <si>
    <t>Цена</t>
  </si>
  <si>
    <t>Мешки мусорные</t>
  </si>
  <si>
    <t>Чистящее средство</t>
  </si>
  <si>
    <t>Мыло хозяйственное</t>
  </si>
  <si>
    <t>Вернигорова</t>
  </si>
  <si>
    <t>Средства для уборки помещений</t>
  </si>
  <si>
    <t xml:space="preserve">Экономист 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</si>
  <si>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</si>
  <si>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</si>
  <si>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</si>
  <si>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</si>
  <si>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</si>
  <si>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</si>
  <si>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</si>
  <si>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</si>
  <si>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</si>
  <si>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</si>
  <si>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</si>
  <si>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в т.ч.</t>
  </si>
  <si>
    <t>9.8.1.</t>
  </si>
  <si>
    <t>Арендная плата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</si>
  <si>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</si>
  <si>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</si>
  <si>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</si>
  <si>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</si>
  <si>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</si>
  <si>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оплату услуг связи</t>
  </si>
  <si>
    <t>Расходы на информационные услуги</t>
  </si>
  <si>
    <t>Расходы на вневедомственную охрану</t>
  </si>
  <si>
    <t>Подготовка кадров(семинары, курсы)</t>
  </si>
  <si>
    <t>Типографские расходы</t>
  </si>
  <si>
    <t>Аттестация рабочих мест</t>
  </si>
  <si>
    <t>Вывоз мусора</t>
  </si>
  <si>
    <t>Расходы на госрегистрацию права на имущество</t>
  </si>
  <si>
    <t>Коммунальное хозяйство( долевое участие в содержании и ремонте общедомового имущества)</t>
  </si>
  <si>
    <t>Услуги по разработке инвестиционной программы</t>
  </si>
  <si>
    <t>Проведение медосмотров</t>
  </si>
  <si>
    <t>Расходы на экспертизу пром.безопасности</t>
  </si>
  <si>
    <t>Расшифровка по материалам и прочим материалам</t>
  </si>
  <si>
    <t>Вспомогательные материалы, в том числе</t>
  </si>
  <si>
    <t>Запасные части для транспортного средства</t>
  </si>
  <si>
    <t>Расходы на приборы учета</t>
  </si>
  <si>
    <t>Расходы на ГСМ</t>
  </si>
  <si>
    <t>Другие затраты :Спецодежда</t>
  </si>
  <si>
    <t>Анализ экономической обоснованности величины расходов из прибыли</t>
  </si>
  <si>
    <t>Аренда жилья</t>
  </si>
  <si>
    <t>Расходы на обеспечение нормальных условий труда и мер по ТБ  в т.ч.:</t>
  </si>
  <si>
    <t>финансовый результат</t>
  </si>
  <si>
    <t>Аренда спецтехники</t>
  </si>
  <si>
    <t>, п. Дюанка.</t>
  </si>
  <si>
    <t>п.Кенада, п.Высокогорный, п.Дюанка, п.Като, п.Датта</t>
  </si>
  <si>
    <t>г.Хабаровск</t>
  </si>
  <si>
    <t>Совещания при Правительстве Хабаровского края по вопросам ЖКХ и договорам. Защита тарифа по транспорту э/э и по тех присоединению.</t>
  </si>
  <si>
    <t>Обоснование расходов   по проезду в отпуск работников  МУП «Электросеть»</t>
  </si>
  <si>
    <t xml:space="preserve">          Согласно статьи 325 ТК РФ  оплата стоимости проезда работника и членов его семьи  в организациях расположенных в районах приравненных к районам Крайнего севера,  имеют право на оплату один раз в два года за счет средств работодателя стоимости проезда и провоза багажа в пределах РФ к месту проведения отпуска и обратно.</t>
  </si>
  <si>
    <t>работники</t>
  </si>
  <si>
    <t>Право на проезд</t>
  </si>
  <si>
    <t>Пункт проведения отпуска</t>
  </si>
  <si>
    <t>Стоимость проезда</t>
  </si>
  <si>
    <t>всего</t>
  </si>
  <si>
    <t>2 человек</t>
  </si>
  <si>
    <t>Ванино-Хабаровск- Симферополь- Ванино</t>
  </si>
  <si>
    <t>Ванино- Хабаровск-Ванино</t>
  </si>
  <si>
    <t>Хабаровск – Симферополь-Хабаровск</t>
  </si>
  <si>
    <t>10человек</t>
  </si>
  <si>
    <t>Ванино-Хабаровск-Владивосток на личном транспорте</t>
  </si>
  <si>
    <t xml:space="preserve">Согласно  п.1 ст. 7 закона №212-ФЗ,п. 1 ст. 20.1 ФЗ ОТ 24.07.1998№125 </t>
  </si>
  <si>
    <t>Экономист                                                    А.Г.Вернигорова</t>
  </si>
  <si>
    <t>Обоснование расходов   по проезду иждивенцев  к месту отдыха  МУП «Электросеть»</t>
  </si>
  <si>
    <t xml:space="preserve">     Предварительный расчет по проезду иждивенцев к месту проведения отпуска о обратно</t>
  </si>
  <si>
    <t>2*4000=8000 руб.</t>
  </si>
  <si>
    <t>Экономист МУП «Электросеть»                  Вернигорова А.Г.</t>
  </si>
  <si>
    <r>
      <t>1.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4"/>
        <color theme="1"/>
        <rFont val="Calibri"/>
        <family val="2"/>
        <charset val="204"/>
        <scheme val="minor"/>
      </rPr>
      <t>Ежемесячные командировки в п.Высокогорный, Кенада, Усть-Орочи, Дюанка, Като ,Датта необходимы для снятия показаний приборов учета электроэнергии и определения ежемесячного полезного отпуска и потерь электроэнергии, предоставление отчетов. Доставка материалов, необходимых для ремонта эл.сетей в данных населенных пунктах возможна  только железной дорогой.(автомобильной дороги нет).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</si>
  <si>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4"/>
        <color theme="1"/>
        <rFont val="Calibri"/>
        <family val="2"/>
        <charset val="204"/>
        <scheme val="minor"/>
      </rPr>
      <t>Совещания при Правительстве Хабаровского края с партнерами по договорам по мере возникновения вопросов и необходимости присутствия на совещаниях, проводимых Министерством ЖКХ.</t>
    </r>
  </si>
  <si>
    <t>Вывоз мусора и пользование полигоном ТБО</t>
  </si>
  <si>
    <t>Ежегодные права на использование программ для ПК, лицензии, электронные ключи</t>
  </si>
  <si>
    <t>Расчет ставки по оплате технологического расхода (потерь)электрической энергии на ее передачу по сетям МУП "Электросеть" 2016 год</t>
  </si>
  <si>
    <t>Целевые средства на НИОКР(расчет потерь, энергоаудит, инвестиционная программа)</t>
  </si>
  <si>
    <t>машины и механизмы</t>
  </si>
  <si>
    <t>капитальные вложения (инвест программа)</t>
  </si>
  <si>
    <t>спецпитание работникам с вахтовым методом с-но колдоговору и  ФЗ  от 03.12.12г № 227</t>
  </si>
  <si>
    <t>Расчет среднегодовой стоимости основных производственных фондов по линиям</t>
  </si>
  <si>
    <t>электропередач и подстанциям МУП "Электросеть"</t>
  </si>
  <si>
    <t>Расчет амортизационых отчислений на восстановление основных производственных фондов</t>
  </si>
  <si>
    <t>Балансовая стоимость основных производственных фондов на начало периода регулирования   руб.</t>
  </si>
  <si>
    <t>Средняя стоимость основных производственных фондов  руб.</t>
  </si>
  <si>
    <t>Сумма амортизационных отчислений  руб.</t>
  </si>
  <si>
    <t>Ввод основных производственных фондов руб.</t>
  </si>
  <si>
    <t xml:space="preserve">Экономист  </t>
  </si>
  <si>
    <t>Экономист                                                         А.Г.Вернигорова</t>
  </si>
  <si>
    <t>Социально-бытовые нужды П/С Кенада 35 кВ</t>
  </si>
  <si>
    <t>Премирование к юбилеям</t>
  </si>
  <si>
    <t>Трансформаторы ТМГ</t>
  </si>
  <si>
    <t>таб.1.15</t>
  </si>
  <si>
    <t>Таб. № 1.24</t>
  </si>
  <si>
    <r>
      <t>Согласно Постановлению от 04.05.2012 года №442 "О функционировании розничных рынков электроэнергии, полном и(или) частичном ограничении режима потребления электроэнергии" (п.п. 149,159,161,169,171,172)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В согласованные дату и время сетевая организация осуществляет снятие показаний прибора учета, осмотр состояния прибора учета и схемы его подключения. Показания прибора учета, состояние демонтируемого прибора учета и схемы его подключения на дату проведения указанных действий фиксируются сетевой организацией в акте проверки, который должен быть подписан сетевой организацией, собственником энергопринимающих устройств (объектов по производству электрической энергии (мощности)), а также гарантирующим поставщиком (энергосбытовой, энергоснабжающей организацией) в случае его участия. Сетевая организация обязана передать лицам, подписавшим акт проверки, по одному экземпляру такого акта.</t>
    </r>
  </si>
  <si>
    <t>Машинист  АГП 22-04 ЗИЛ-433362</t>
  </si>
  <si>
    <t>Машинист (СКБМ-1) на базе ЗИЛ-131</t>
  </si>
  <si>
    <t>Машинист БКМ 317</t>
  </si>
  <si>
    <t xml:space="preserve">2016 год </t>
  </si>
  <si>
    <t>таб.1.4</t>
  </si>
  <si>
    <t xml:space="preserve"> Стоимость Материалов  всего</t>
  </si>
  <si>
    <t>Детализация</t>
  </si>
  <si>
    <t xml:space="preserve"> финансового результата  МУП "Электросеть" </t>
  </si>
  <si>
    <t>В том числе:</t>
  </si>
  <si>
    <t xml:space="preserve">Технические условия </t>
  </si>
  <si>
    <t>Прочие</t>
  </si>
  <si>
    <t>Экономист МУП "Электросеть"                                        Вернигорова А.Г.</t>
  </si>
  <si>
    <t>Расшифровка по другим затратам, относимым на себестоимость продукции (п.9.8.)</t>
  </si>
  <si>
    <t>Средства на  страхование автотехники</t>
  </si>
  <si>
    <t>Обсл.программы "Табличный расчет зарплаты"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</si>
  <si>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</si>
  <si>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</si>
  <si>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</si>
  <si>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</si>
  <si>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</si>
  <si>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</si>
  <si>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</si>
  <si>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</si>
  <si>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</si>
  <si>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</si>
  <si>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</si>
  <si>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</si>
  <si>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</si>
  <si>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</si>
  <si>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</si>
  <si>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</si>
  <si>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</si>
  <si>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</si>
  <si>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</si>
  <si>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</si>
  <si>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</si>
  <si>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</si>
  <si>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</si>
  <si>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</si>
  <si>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</si>
  <si>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</si>
  <si>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</si>
  <si>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</si>
  <si>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</si>
  <si>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</si>
  <si>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</si>
  <si>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</si>
  <si>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</si>
  <si>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</si>
  <si>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</si>
  <si>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</si>
  <si>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</si>
  <si>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</si>
  <si>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</si>
  <si>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</si>
  <si>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</si>
  <si>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</si>
  <si>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</si>
  <si>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</si>
  <si>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</si>
  <si>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</si>
  <si>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</si>
  <si>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</si>
  <si>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</si>
  <si>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</si>
  <si>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</si>
  <si>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</si>
  <si>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</si>
  <si>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</si>
  <si>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</si>
  <si>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</si>
  <si>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</si>
  <si>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</si>
  <si>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Прочие расходы их прибыли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</si>
  <si>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</si>
  <si>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</si>
  <si>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</si>
  <si>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</si>
  <si>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</si>
  <si>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</si>
  <si>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</si>
  <si>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</si>
  <si>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</si>
  <si>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</si>
  <si>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</si>
  <si>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</si>
  <si>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</si>
  <si>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</si>
  <si>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</si>
  <si>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</si>
  <si>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</si>
  <si>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</si>
  <si>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</si>
  <si>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</si>
  <si>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</si>
  <si>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</si>
  <si>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</si>
  <si>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</si>
  <si>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</si>
  <si>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</si>
  <si>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</si>
  <si>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</si>
  <si>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</si>
  <si>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</si>
  <si>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</si>
  <si>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</si>
  <si>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</si>
  <si>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</si>
  <si>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</si>
  <si>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</si>
  <si>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</si>
  <si>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</si>
  <si>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</si>
  <si>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</si>
  <si>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</si>
  <si>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</si>
  <si>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Целевые средства на НИОКР(расчет потерь, энергоаудит, разработка инвестиционной программы))</t>
  </si>
  <si>
    <t xml:space="preserve">Программа 1С:Бухгалтерия с ИТС  </t>
  </si>
  <si>
    <t>Расчет по  договору №959/п ОАО "ФСК ЕЭС" (Доп.соглашение № 4)</t>
  </si>
  <si>
    <t xml:space="preserve">на содержание объектов электросетевого хозяйства, </t>
  </si>
  <si>
    <t>входящих в ЕНЭС</t>
  </si>
  <si>
    <t xml:space="preserve">Плановая стоимость нормативных потерь (технологического расхода электроэнергии   </t>
  </si>
  <si>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</si>
  <si>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Муниципальное унитарное предприятие Ванинского муниципального района "Электросеть"</t>
  </si>
  <si>
    <t>(наименование территориальной сетевой организации)</t>
  </si>
  <si>
    <t>Ед. измерения</t>
  </si>
  <si>
    <t>В том числе по уровню напряжения</t>
  </si>
  <si>
    <t xml:space="preserve">Поступление в сеть из других организаций, в том числе: </t>
  </si>
  <si>
    <t>тыс. кВт ч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</si>
  <si>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</si>
  <si>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</si>
  <si>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</si>
  <si>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</si>
  <si>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</si>
  <si>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Фактические потери электроэнергии</t>
  </si>
  <si>
    <t>Протяженность линий (воздушных и кабельных) электропередачи в одноцепном выражении</t>
  </si>
  <si>
    <t>Протяженность воздушных линий электропередачи в одноцепном выражении</t>
  </si>
  <si>
    <t>Соотношение протяженности воздушных и кабельных линий электропередачи в одноцепном выражении (доля ВЛ)</t>
  </si>
  <si>
    <t>Норматив потерь электроэнергии по приказу Минэнерго России от 30.09.2014 № 674</t>
  </si>
  <si>
    <t>Плановый отпуск электроэнергии в сеть</t>
  </si>
  <si>
    <t>Уровень потерь электроэнергии</t>
  </si>
  <si>
    <t>Величина потерь электроэнергии</t>
  </si>
  <si>
    <t>Примечание:</t>
  </si>
  <si>
    <t>Данные о поступлении в сеть в базовом периоде принимаются в соответствии с отчетной формой № 46-ЭЭ (передача)</t>
  </si>
  <si>
    <t>Холодная вода и водоотведение</t>
  </si>
  <si>
    <t xml:space="preserve">     Предварительный расчет проезда работников  предприятия в отпуск и обратно:</t>
  </si>
  <si>
    <t>Проезд кместу работыв п. Кенада</t>
  </si>
  <si>
    <t>Ремонт,обслуживание ЭВМ</t>
  </si>
  <si>
    <t>проезд в отпуск иждивенцев</t>
  </si>
  <si>
    <t>Услуги по доставке материалов</t>
  </si>
  <si>
    <t>Оплата проезда в отпуск</t>
  </si>
  <si>
    <t>9.9.</t>
  </si>
  <si>
    <t>предприятия МУП "Электросеть"</t>
  </si>
  <si>
    <t>Агент по снабжению</t>
  </si>
  <si>
    <t>Коэффициент для участков линий, проходящих по труднопроходимым трассам</t>
  </si>
  <si>
    <t>Водители спецтранспорта</t>
  </si>
  <si>
    <t>на деревяных опорах с ж\б приставками</t>
  </si>
  <si>
    <t xml:space="preserve">на деревяных опорах </t>
  </si>
  <si>
    <t>Примечание: В связи с принятием ЛЭП 35 кВ Высокогорный-Кенада с подстанцией 35/10кВ "Кенада" организован распределительный пункт с постоянным дежурством персонала вахтовым методом (удаленность)</t>
  </si>
  <si>
    <t>Таблица П1.17</t>
  </si>
  <si>
    <t>Базовый период (2016 год)</t>
  </si>
  <si>
    <t>Регулируемый период (2018 год)</t>
  </si>
  <si>
    <t>УАЗ 315195 Hunter</t>
  </si>
  <si>
    <t>АИ 95</t>
  </si>
  <si>
    <t>Субару Легаси</t>
  </si>
  <si>
    <t>Бензин АИ 95</t>
  </si>
  <si>
    <t>на 2018-2022 гг.</t>
  </si>
  <si>
    <t>2018 год.</t>
  </si>
  <si>
    <t>2018 год</t>
  </si>
  <si>
    <t>на 2018-2022 годы</t>
  </si>
  <si>
    <t>Условные единицы  1690,8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</si>
  <si>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</si>
  <si>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</si>
  <si>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</si>
  <si>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</si>
  <si>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</si>
  <si>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</si>
  <si>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 xml:space="preserve"> 2016 год план</t>
  </si>
  <si>
    <t xml:space="preserve"> 2016 год факт</t>
  </si>
  <si>
    <t>Работы и услуги производственного  характера(ремонт авт. +ДИМ)</t>
  </si>
  <si>
    <t>из них на ремонт авт</t>
  </si>
  <si>
    <t>Смета расходов, связанных с передачей электрической энергии по сетям МУП "Электросеть"за 2016 год</t>
  </si>
  <si>
    <t>МТС,билайн,ростелеком,Энфорта</t>
  </si>
  <si>
    <t>Членский взнос СРО</t>
  </si>
  <si>
    <t>Услуги Почты  (марки и конверты)+подписка</t>
  </si>
  <si>
    <t>Проживание в гостинице</t>
  </si>
  <si>
    <t>Новая программа по ЗП</t>
  </si>
  <si>
    <t>Страховой взнос РЕСО</t>
  </si>
  <si>
    <t>Техосмотр автомобилей</t>
  </si>
  <si>
    <t>Консультант, система Главбух,Ракурс</t>
  </si>
  <si>
    <t>Прочие расходы</t>
  </si>
  <si>
    <t xml:space="preserve">                        </t>
  </si>
  <si>
    <t>2016 год факт</t>
  </si>
  <si>
    <t>за 2016 год по видам деятельности</t>
  </si>
  <si>
    <t>Доходы от реализации за 2016 год.</t>
  </si>
  <si>
    <t>Расчет потребности топлива и ГСМ на 2018-2022 годы.</t>
  </si>
  <si>
    <t>Стоимость топлива в ценах 2017 г.</t>
  </si>
  <si>
    <t>3300/582</t>
  </si>
  <si>
    <t>4200/543</t>
  </si>
  <si>
    <t>2018г.</t>
  </si>
  <si>
    <t>2019г</t>
  </si>
  <si>
    <t>2020г</t>
  </si>
  <si>
    <t>2021г</t>
  </si>
  <si>
    <t>2022г</t>
  </si>
  <si>
    <t>Субару-Легаси</t>
  </si>
  <si>
    <t>2019 год</t>
  </si>
  <si>
    <t>2020 год</t>
  </si>
  <si>
    <t>2021 год</t>
  </si>
  <si>
    <t>2022 год</t>
  </si>
  <si>
    <t>Средства для обеспечения электробезопасности на 2018-2022гг.</t>
  </si>
  <si>
    <t>стоимость тыс.руб.</t>
  </si>
  <si>
    <t>медкомиссия 1 раз в 2 года обязательная 3616*67чел</t>
  </si>
  <si>
    <t>АУП, ИТР</t>
  </si>
  <si>
    <t>Охрана труда 2018-2022гг.</t>
  </si>
  <si>
    <t>медкомиссия ежегодная обязательная 3616*25чел</t>
  </si>
  <si>
    <t>медкомиссия при приеме на работу 3616*10чел</t>
  </si>
  <si>
    <t>кол-во чел.</t>
  </si>
  <si>
    <t>костюм сварщика</t>
  </si>
  <si>
    <t>Мыло туалетное   (53*2*12)</t>
  </si>
  <si>
    <t>2018г</t>
  </si>
  <si>
    <t>БЕЗ МАТ.ПОМОЩИ И ПРОЕЗДА В ОТПУСК</t>
  </si>
  <si>
    <t>Среднесписочная численность рабочих района</t>
  </si>
  <si>
    <t>Расчет нормативной численности работников МУП "Электросеть"              2018 год.</t>
  </si>
  <si>
    <t>Расчет затрат на текущий ремонт сетей и оборудования по МУП "Электросеть"  на 2018-2022гг.</t>
  </si>
  <si>
    <t>1. Воздушные линиии  напряжением до и выше 1000 В на деревянных, пропитанных антисептиком с железобетонными пасынками опорах на 1000 м однолинейного провода сечением, кв. мм</t>
  </si>
  <si>
    <t>2018год.</t>
  </si>
  <si>
    <t>ФЗ №44 от 05.04.2013 О контрактной системе в сфере закупок, работ, услуг для обеспсечния  государственных и муниципальных служб</t>
  </si>
  <si>
    <t>10.Организация закупок</t>
  </si>
  <si>
    <t>11. Организация сбыта, контроль за рациональным использованием  энергии</t>
  </si>
  <si>
    <t>" ______  " _____________   2017   год</t>
  </si>
  <si>
    <t>выслуга 15%</t>
  </si>
  <si>
    <t>6. Общее делопроизводство</t>
  </si>
  <si>
    <t>Водители оперативной машины</t>
  </si>
  <si>
    <t>ИТОГО нормативная численность работников МУП "Электросеть" на 2018 год составляет 96 человек.</t>
  </si>
  <si>
    <t>Специалист по закупкам</t>
  </si>
  <si>
    <t>Водитель "Субару-Легаси"</t>
  </si>
  <si>
    <t>Ст. диспетчер</t>
  </si>
  <si>
    <t>Водитель УАЗ</t>
  </si>
  <si>
    <t>Водитель УАЗ (оперативная)</t>
  </si>
  <si>
    <t>Рабочие -вахта Кенада</t>
  </si>
  <si>
    <t xml:space="preserve">ставка 1 разряда 9294 руб.    </t>
  </si>
  <si>
    <t>План 2018год</t>
  </si>
  <si>
    <t>Материалы, требуемые для содержания автотранспорта в 2018-2022гг.</t>
  </si>
  <si>
    <t>защитные щитки или очки</t>
  </si>
  <si>
    <t>2018год</t>
  </si>
  <si>
    <t>Ожидаемое 2018 год</t>
  </si>
  <si>
    <t xml:space="preserve">стоимость , рублей  </t>
  </si>
  <si>
    <t>Подконтрольные расходы из прибыли  за 2016 год</t>
  </si>
  <si>
    <t>Расчет</t>
  </si>
  <si>
    <t>стоимости провоза работников</t>
  </si>
  <si>
    <t>к месту работы и обратно в 2018 году</t>
  </si>
  <si>
    <t>согласно п.6.1. коллективного договора</t>
  </si>
  <si>
    <t>Стоимость одной доставки</t>
  </si>
  <si>
    <t>Количество доставок в день</t>
  </si>
  <si>
    <t>Количество рабочих дней в году</t>
  </si>
  <si>
    <t>Затраты на доставку работников в год.</t>
  </si>
  <si>
    <t>тыс..руб.</t>
  </si>
  <si>
    <t>Экономист                                             А.Г.Вернигорова</t>
  </si>
  <si>
    <t>Всего затрат  по ОАО "ФСК" на  2018 год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</si>
  <si>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на ее транспортировку)</t>
    </r>
    <r>
      <rPr>
        <sz val="11"/>
        <color theme="1"/>
        <rFont val="Calibri"/>
        <family val="2"/>
        <charset val="204"/>
        <scheme val="minor"/>
      </rPr>
      <t xml:space="preserve"> при передаче электрической энергии на 2018 год.</t>
    </r>
  </si>
  <si>
    <t>Тариф  на оплату потерь руб/МВт*ч (средний по факту за 2016 год)</t>
  </si>
  <si>
    <t>2020 гол</t>
  </si>
  <si>
    <t>Всего затрат  по ОАО "ФСК" на  2019 год</t>
  </si>
  <si>
    <t>Всего затрат  по ОАО "ФСК" на  2020 год</t>
  </si>
  <si>
    <t>Всего затрат  по ОАО "ФСК" на  2021 год</t>
  </si>
  <si>
    <t>Всего затрат  по ОАО "ФСК" на  2022 год</t>
  </si>
  <si>
    <t xml:space="preserve">2021год </t>
  </si>
  <si>
    <t>выплата пособия матерям по уходу за детьми от 1,5 до 3-х лет</t>
  </si>
  <si>
    <t>2018-2022 гг.</t>
  </si>
  <si>
    <t>начиная со второго года  работы</t>
  </si>
  <si>
    <t>Начиная со второго года  работы</t>
  </si>
  <si>
    <t>Начиная со второго года работы</t>
  </si>
  <si>
    <t>2018-2022гг</t>
  </si>
  <si>
    <t>2 человека</t>
  </si>
  <si>
    <t>2*8000=16000 руб.</t>
  </si>
  <si>
    <t>Хабаровск – Новосибирск-Хабаровск</t>
  </si>
  <si>
    <t>Хабаровск – Новосибирск-Хабаровск     2*14600*2=58400</t>
  </si>
  <si>
    <t xml:space="preserve"> 145000 руб</t>
  </si>
  <si>
    <t>74400 руб.</t>
  </si>
  <si>
    <t>3*8000=24000 руб.</t>
  </si>
  <si>
    <t>Ванино- Хабаровск-Ванино 8000 руб* 2 =16000  Хабаровск- Симферополь- Хабаровск 38350руб*2=76700руб.</t>
  </si>
  <si>
    <t>92700 руб.</t>
  </si>
  <si>
    <t>Хабаровск – Анапа-Хабаровск</t>
  </si>
  <si>
    <t>3*50100=150300</t>
  </si>
  <si>
    <t>174300руб.</t>
  </si>
  <si>
    <t>10*16000=160000руб.</t>
  </si>
  <si>
    <t>3 человека</t>
  </si>
  <si>
    <t>486400руб.</t>
  </si>
  <si>
    <t>2*26650=53300</t>
  </si>
  <si>
    <t xml:space="preserve"> 61300руб</t>
  </si>
  <si>
    <t xml:space="preserve">Расшифровка к Расчету командировочных расходов МУП «Электросеть» </t>
  </si>
  <si>
    <r>
      <t>4 вахты в мес.*1600руб*12 мес=</t>
    </r>
    <r>
      <rPr>
        <b/>
        <sz val="11"/>
        <color theme="1"/>
        <rFont val="Calibri"/>
        <family val="2"/>
        <charset val="204"/>
        <scheme val="minor"/>
      </rPr>
      <t>76800руб</t>
    </r>
    <r>
      <rPr>
        <sz val="11"/>
        <color theme="1"/>
        <rFont val="Calibri"/>
        <family val="2"/>
        <charset val="204"/>
        <scheme val="minor"/>
      </rPr>
      <t>.</t>
    </r>
  </si>
  <si>
    <r>
      <t>Проезд 1600*12*2=38400    Провоз багажа 4000*12=48000 руб. Итого</t>
    </r>
    <r>
      <rPr>
        <b/>
        <sz val="11"/>
        <color theme="1"/>
        <rFont val="Calibri"/>
        <family val="2"/>
        <charset val="204"/>
        <scheme val="minor"/>
      </rPr>
      <t xml:space="preserve"> 86400 руб</t>
    </r>
  </si>
  <si>
    <r>
      <t>1300*12*6чел.=</t>
    </r>
    <r>
      <rPr>
        <b/>
        <sz val="11"/>
        <color theme="1"/>
        <rFont val="Calibri"/>
        <family val="2"/>
        <charset val="204"/>
        <scheme val="minor"/>
      </rPr>
      <t>93600руб</t>
    </r>
    <r>
      <rPr>
        <sz val="11"/>
        <color theme="1"/>
        <rFont val="Calibri"/>
        <family val="2"/>
        <charset val="204"/>
        <scheme val="minor"/>
      </rPr>
      <t>.</t>
    </r>
  </si>
  <si>
    <r>
      <t xml:space="preserve">Проезд Ванино-Хабаровск-Ванино 2400*2=4800руб. Проезд Хабаровск-Москва-Хабаровск =39270*2=88140  Проживание 13000 руб. Итого </t>
    </r>
    <r>
      <rPr>
        <b/>
        <sz val="11"/>
        <color theme="1"/>
        <rFont val="Calibri"/>
        <family val="2"/>
        <charset val="204"/>
        <scheme val="minor"/>
      </rPr>
      <t>194080 руб.</t>
    </r>
  </si>
  <si>
    <r>
      <t xml:space="preserve">9000 руб.бензин*6 раз=54000 руб. Всего </t>
    </r>
    <r>
      <rPr>
        <b/>
        <sz val="11"/>
        <color theme="1"/>
        <rFont val="Calibri"/>
        <family val="2"/>
        <charset val="204"/>
        <scheme val="minor"/>
      </rPr>
      <t>72000руб.</t>
    </r>
  </si>
  <si>
    <t>Плановый расчет командировочных расходов  МУП «Электросеть» на 2018-2022гг.</t>
  </si>
  <si>
    <t>Проезд 2800*2*3чел=16800 руб</t>
  </si>
  <si>
    <r>
      <t xml:space="preserve">2800*2*3 чел.=16800 руб.      ВСЕГО </t>
    </r>
    <r>
      <rPr>
        <b/>
        <sz val="11"/>
        <color theme="1"/>
        <rFont val="Calibri"/>
        <family val="2"/>
        <charset val="204"/>
        <scheme val="minor"/>
      </rPr>
      <t>61600руб</t>
    </r>
  </si>
  <si>
    <r>
      <t xml:space="preserve"> 3 чел.*14дней=42 дня*650 р. =</t>
    </r>
    <r>
      <rPr>
        <b/>
        <sz val="11"/>
        <color theme="1"/>
        <rFont val="Calibri"/>
        <family val="2"/>
        <charset val="204"/>
        <scheme val="minor"/>
      </rPr>
      <t xml:space="preserve"> 27300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</si>
  <si>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r>
      <t xml:space="preserve">5 чел. *7 дн. * 650= </t>
    </r>
    <r>
      <rPr>
        <b/>
        <sz val="11"/>
        <color theme="1"/>
        <rFont val="Calibri"/>
        <family val="2"/>
        <charset val="204"/>
        <scheme val="minor"/>
      </rPr>
      <t xml:space="preserve">22750 </t>
    </r>
    <r>
      <rPr>
        <sz val="11"/>
        <color theme="1"/>
        <rFont val="Calibri"/>
        <family val="2"/>
        <charset val="204"/>
        <scheme val="minor"/>
      </rPr>
      <t>руб.</t>
    </r>
  </si>
  <si>
    <r>
      <t xml:space="preserve">3 чел. * 7 дней*650 = </t>
    </r>
    <r>
      <rPr>
        <b/>
        <sz val="11"/>
        <color theme="1"/>
        <rFont val="Calibri"/>
        <family val="2"/>
        <charset val="204"/>
        <scheme val="minor"/>
      </rPr>
      <t>13650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</si>
  <si>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r>
      <t>2 раза*2 чел. 6 дней*650 =</t>
    </r>
    <r>
      <rPr>
        <b/>
        <sz val="11"/>
        <color theme="1"/>
        <rFont val="Calibri"/>
        <family val="2"/>
        <charset val="204"/>
        <scheme val="minor"/>
      </rPr>
      <t>3900</t>
    </r>
  </si>
  <si>
    <r>
      <t>6 раз  2чел 18 дней*2=36 дней *650 руб=</t>
    </r>
    <r>
      <rPr>
        <b/>
        <sz val="11"/>
        <color theme="1"/>
        <rFont val="Calibri"/>
        <family val="2"/>
        <charset val="204"/>
        <scheme val="minor"/>
      </rPr>
      <t>23400</t>
    </r>
    <r>
      <rPr>
        <sz val="11"/>
        <color theme="1"/>
        <rFont val="Calibri"/>
        <family val="2"/>
        <charset val="204"/>
        <scheme val="minor"/>
      </rPr>
      <t xml:space="preserve"> руб</t>
    </r>
  </si>
  <si>
    <r>
      <t>1 чел* 2 раза*8 дней*650 руб.=</t>
    </r>
    <r>
      <rPr>
        <b/>
        <sz val="11"/>
        <color theme="1"/>
        <rFont val="Calibri"/>
        <family val="2"/>
        <charset val="204"/>
        <scheme val="minor"/>
      </rPr>
      <t>5200</t>
    </r>
  </si>
  <si>
    <r>
      <t>1 раз*2 чел.*12 мес*3 дня=</t>
    </r>
    <r>
      <rPr>
        <b/>
        <sz val="11"/>
        <color theme="1"/>
        <rFont val="Calibri"/>
        <family val="2"/>
        <charset val="204"/>
        <scheme val="minor"/>
      </rPr>
      <t>25200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</si>
  <si>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t>2018 год план</t>
  </si>
  <si>
    <t>Водоснабжение и водоотведение</t>
  </si>
  <si>
    <t>Договор № 3-884 от 29.12.16г.</t>
  </si>
  <si>
    <t>Договор№ 10/м  от 15,01,2016г.УК Домовенок-Ванино</t>
  </si>
  <si>
    <t xml:space="preserve"> Вывоз мусора 841,1*12=10,09 тыс.руб</t>
  </si>
  <si>
    <t>Договор №27 от 01.01.2017 г  ИП Данилова</t>
  </si>
  <si>
    <t>Прием ТБО 30м3*69=2,07 тыс.руб</t>
  </si>
  <si>
    <t xml:space="preserve">2018 год   </t>
  </si>
  <si>
    <t>2022год</t>
  </si>
  <si>
    <t>Договор №21/4/2 от 05.12.2016г. ООО "ЧОП Крепость"</t>
  </si>
  <si>
    <t xml:space="preserve">17,325 тыс. руб *12 мес=207,9 тыс. руб, замена батарей  0,5*12=6,0 тыс.руб </t>
  </si>
  <si>
    <t>Договор № 540КБ/16 ООО "Софтинфо"</t>
  </si>
  <si>
    <t>Консультант 32,248т.р. в мес*12мес386,976</t>
  </si>
  <si>
    <t>Довор №61/14 от 01.01.2014. ООО "Феникс" Доп.согл. От 01,01,2017</t>
  </si>
  <si>
    <t>2523,89*12=30,29</t>
  </si>
  <si>
    <t>Цена договора 23,6т.руб.</t>
  </si>
  <si>
    <t>Договор № 924/1177294429 от 25,02,2017  СПАО "РЕСО-Гарантия"</t>
  </si>
  <si>
    <t>Страховая премия 14,4 тыс.руб</t>
  </si>
  <si>
    <t>Страхование гражд.ответственности за причинение вреда(Строители СРО)</t>
  </si>
  <si>
    <t>автомобиль 6,897т,руб*12=82,764т.руб   УРАЛ 1,695т.руб.*10час=16,95 т.руб</t>
  </si>
  <si>
    <t xml:space="preserve">договор аренды автомобиль Чижевский б/н от 25,05,16 ,Договор окз. Трансп.услуг Булыгин б/н  от 29,01,16 </t>
  </si>
  <si>
    <t xml:space="preserve">Договор аренды транспортного средства  </t>
  </si>
  <si>
    <t>Проезд для повышение квалифивации работников, сдача экзаменов инженерного состава в учебном комбинате, отчеты, ремонты сетей и т.д.расчет</t>
  </si>
  <si>
    <t>Договор №2380050411 от 01.04.2014 г Ростелеком</t>
  </si>
  <si>
    <t>Договор №515400723 от 14.04.2014 г. Вымпелком</t>
  </si>
  <si>
    <t>Договор №VAN 00278 от 01.04.2014 г.</t>
  </si>
  <si>
    <t>12мес* 16,0 =192,0 тыс.руб.</t>
  </si>
  <si>
    <t>12 мес.*11,0=132,0 тыс.руб</t>
  </si>
  <si>
    <t>Договор  о предоставлении услуг связи МТС  3 шт.</t>
  </si>
  <si>
    <t>12 мес*0,2*3=7,2тыс.руб.</t>
  </si>
  <si>
    <t>12 мес*4,08=48,96 тыс.руб</t>
  </si>
  <si>
    <t>Механик автохозяйства (Приказ Минтранса России от 15.01.2014г. № 7</t>
  </si>
  <si>
    <t>Нормативное штатное расписание  МУП "Электросеть" на 2018-2022 годы</t>
  </si>
  <si>
    <t>Мастер по эксплуатации распределительных сетей</t>
  </si>
  <si>
    <t>Электромонтер  гр.раб 3  по обслуживанию электрооборудования подстанций</t>
  </si>
  <si>
    <t>Электромонтер  гр.раб 4 по обслуживанию электрооборудования подстанций</t>
  </si>
  <si>
    <t xml:space="preserve">Электромонтер гр.раб 3 по обслуживанию кабельных линий </t>
  </si>
  <si>
    <t xml:space="preserve">Электромонтер гр.раб 4 по обслуживанию кабельных линий </t>
  </si>
  <si>
    <t>Электромонтер-контролер</t>
  </si>
  <si>
    <t>Электромонтер  гр.раб 4  по обслуживанию  эл.подстанции       35 кВ</t>
  </si>
  <si>
    <t xml:space="preserve">460,5/96=            </t>
  </si>
  <si>
    <t xml:space="preserve">Ставка рабочего первого разряда составляет 9229 руб. по состоянию на 01 октября 2016 года.(Согласно письму председателя Профсоюза жизнеобеспечения </t>
  </si>
  <si>
    <r>
      <t xml:space="preserve">и президента ОООР "Союз коммунальных предприятий". На 01 января 2018г. Принимаем ставку (9229*1,007)= </t>
    </r>
    <r>
      <rPr>
        <b/>
        <sz val="10"/>
        <color theme="1"/>
        <rFont val="Calibri"/>
        <family val="2"/>
        <charset val="204"/>
        <scheme val="minor"/>
      </rPr>
      <t>9294 руб.</t>
    </r>
  </si>
  <si>
    <t>Ст.диспетчер</t>
  </si>
  <si>
    <t>Техник по эксплуатации энергетического оборудования</t>
  </si>
  <si>
    <t xml:space="preserve">Водитель УАЗ  </t>
  </si>
  <si>
    <t>Водитель УАЗ оперативная</t>
  </si>
  <si>
    <t>Электромонтер  гр.раб 3  по обслуживанию кабельных линий</t>
  </si>
  <si>
    <t>Электромонтер  гр.раб 4  по обслуживанию кабельных линий</t>
  </si>
  <si>
    <t>Электромонтер  гр.раб 4  по обслуживанию электрооборудования подстанций</t>
  </si>
  <si>
    <t>Электромонтер  гр.раб 5  оперативно выездной бригады</t>
  </si>
  <si>
    <t>Рабочие - вахта Кенада</t>
  </si>
  <si>
    <t>И.О. Главный бухгалтер  МУП "Электросеть"                            Султанова Т.А.</t>
  </si>
  <si>
    <t xml:space="preserve"> 2016 год факт транспортировка</t>
  </si>
  <si>
    <t>выслуга 20%</t>
  </si>
  <si>
    <t>Плановое штатное расписание предприятия  МУП "Электросеть" на 2018-2019 годы</t>
  </si>
  <si>
    <t>Плановое штатное расписание предприятия  МУП "Электросеть" на 2020-2021 годы</t>
  </si>
  <si>
    <t>Плановое штатное расписание предприятия  МУП "Электросеть" на 2022 год.</t>
  </si>
  <si>
    <t>выслуга 25%</t>
  </si>
  <si>
    <t>1,44-1,53-1,62-1,72-1,82</t>
  </si>
  <si>
    <t>2020год</t>
  </si>
  <si>
    <t>2021год</t>
  </si>
  <si>
    <t>на 2018 - 2022 годы</t>
  </si>
  <si>
    <t>на 2018-2022 год.</t>
  </si>
  <si>
    <t>Расходы на канц. принадлежности ( в материалах)</t>
  </si>
  <si>
    <t>2016 год(т.руб) факт</t>
  </si>
  <si>
    <t>Всего вспомогательные материалы</t>
  </si>
  <si>
    <t>Ежеквартальный взнос в компенсационный фонд</t>
  </si>
  <si>
    <t xml:space="preserve">Свидетельство о допуске к определенному виду работ </t>
  </si>
  <si>
    <t>Обслуживание программы по расчету ЗП "КИС ДИМАС"</t>
  </si>
  <si>
    <t>Обслуживание 3,5*12=42,6 тыс.руб.</t>
  </si>
  <si>
    <t>Договор № 2017-04 от 27,03,17 Бояршинов С.А.</t>
  </si>
  <si>
    <t>Договор б/н от 30.12,15  Пестова А.В.</t>
  </si>
  <si>
    <t>12*13,793=165,52 тыс.руб.</t>
  </si>
  <si>
    <t>Система главбух  60 т.р.</t>
  </si>
  <si>
    <t>Договор № 244780708 от 01,12,16</t>
  </si>
  <si>
    <t>ИТС 15,04тыс.руб Почасовые услуги 1,9*2 час=3,8т.руб</t>
  </si>
  <si>
    <t>Договор № ПВц-001846 от 29,11,2016</t>
  </si>
  <si>
    <t>Подписка на периодич.издания</t>
  </si>
  <si>
    <t>Журнал "ДВ энергопетребитель", газета "Восход"</t>
  </si>
  <si>
    <t xml:space="preserve">дог. От 26,12,2015г., </t>
  </si>
  <si>
    <t xml:space="preserve">Медкомиссия при приеме на работу  </t>
  </si>
  <si>
    <t>Ежегодная медкомиссия</t>
  </si>
  <si>
    <t>Лицензии на право пользования, ключи</t>
  </si>
  <si>
    <t>ПО Почтовый агент =6,09тыс.руб  АО РСИЦ=2,84 тыс.руб ЗАО Сервер-Центр =6,9 тыс.руб.ЗАО Софткей= 20,88 тыс.руб</t>
  </si>
  <si>
    <t>Счета-фактуры</t>
  </si>
  <si>
    <t>Договор №  СЖ-302-1-С АНО "Институт  экономики, управления и социальных отношений"</t>
  </si>
  <si>
    <t>Семинар Новые требования ФЗ 223</t>
  </si>
  <si>
    <t>Дог.№ С27-01 от 25,12,16 Луковская к.</t>
  </si>
  <si>
    <t>8 чел. Смета по 20 час. Программе повыш.квалификац.</t>
  </si>
  <si>
    <t>ООО Организация деловых мероприятий</t>
  </si>
  <si>
    <t>Абонентское обслуживание.</t>
  </si>
  <si>
    <t>Аттестация машиниста автовышки</t>
  </si>
  <si>
    <t>Дог № 189-24 от 14,03,16 НОУ ДПО учебный пункт ИТЦ ПТМ</t>
  </si>
  <si>
    <t>Тема Тех.присоединение к эл.сетям</t>
  </si>
  <si>
    <t>Договор № Ч3577 от 05,05,16</t>
  </si>
  <si>
    <t>Повышение квалификации "безопасность строит-ва"</t>
  </si>
  <si>
    <t>Договор № 056 от 15,02,16  АНО ДПО ДВИПРАЗ</t>
  </si>
  <si>
    <t>Управление закупочной деятельностью</t>
  </si>
  <si>
    <t>Договор № 000819 от 15,06,16 АНО ДПО ДВАГЗ</t>
  </si>
  <si>
    <t>"Контрактная система,аукционы и иные способы закупок</t>
  </si>
  <si>
    <t>Договор№11701-см-115 от 06,10,16 АНО ДПО "Академия новой экономики</t>
  </si>
  <si>
    <t>Семинар "Особенности размещения линейных объектов"</t>
  </si>
  <si>
    <t>Договор № 000387 от 13,05,16 ИП Подолинный</t>
  </si>
  <si>
    <t>Семинар"Новое в управлении инженерными сетями:распоряжение имуществом,землепользование,подключение"</t>
  </si>
  <si>
    <t>Изготовление журналов-ордеров</t>
  </si>
  <si>
    <t>ежегодно по факту</t>
  </si>
  <si>
    <t>МУП "Электросеть" 2018 год</t>
  </si>
  <si>
    <t>10 чел*3,6т.руб=36,0т.руб</t>
  </si>
  <si>
    <t>ежегодно25*3,616=90,4,     раз в 2 года  67*3,616= 242,27    Иотго в седнем на год.=(90,4+242,27)/2=166,34</t>
  </si>
  <si>
    <t>договор № 123 Центр медкомиссии, расчет</t>
  </si>
  <si>
    <t>Работы и услуги производственного  характера( ООО ДИМ"</t>
  </si>
  <si>
    <t>Канцтовары, бумага</t>
  </si>
  <si>
    <t>Компьютеры, програмное обеспечение, расходные материалы</t>
  </si>
  <si>
    <t>Отчет об использовании за 2015-2016 годы</t>
  </si>
  <si>
    <t>МУП "Электросеть" 2019 год</t>
  </si>
  <si>
    <t>МУП "Электросеть" 2020 год</t>
  </si>
  <si>
    <t>МУП "Электросеть" 2021 год</t>
  </si>
  <si>
    <t>МУП "Электросеть" 2022 год</t>
  </si>
  <si>
    <t>предприятие 2018 год</t>
  </si>
  <si>
    <t>предприятие 2019 год</t>
  </si>
  <si>
    <t>предприятие 2020 год</t>
  </si>
  <si>
    <t>предприятие 2021 год</t>
  </si>
  <si>
    <t>предприятие 2022 год</t>
  </si>
  <si>
    <t>Перечень  работ, замены изношенного фонда спец. техники  планируемых к выполнению   за счет амортизационных отчислений на 2018-2022гг</t>
  </si>
  <si>
    <t>Год</t>
  </si>
  <si>
    <t>Итого стоимость, тыс. руб</t>
  </si>
  <si>
    <t>Ориент.стоимость, тыс. руб</t>
  </si>
  <si>
    <t>Приобретение мобильной установки для очистки трансформаторного масла УВФ250</t>
  </si>
  <si>
    <t xml:space="preserve">Приобретение автомобиля УАЗ ( грузопассижирский) </t>
  </si>
  <si>
    <t xml:space="preserve">Проект №7 Реконструкция центра питания в западной части поселка Ванино с целью энергосбережения и повышения энергетической эффективности, увеличения надежности электроснабжения и возможности подключения новых потребителей  </t>
  </si>
  <si>
    <t>Ремонт строительной части  производственных зданий</t>
  </si>
  <si>
    <t>Приобретение автогидроподъемника ВС-22.06Э.И.</t>
  </si>
  <si>
    <t>Приобретение автомобиля УАЗ ( фермер)</t>
  </si>
  <si>
    <t>Приобретение краново-бурильной машины СКБМ на базе автомобиля ЗИЛ-131</t>
  </si>
  <si>
    <t>Приобретение автомобиля УАЗ ( Хантер)</t>
  </si>
  <si>
    <t xml:space="preserve">Проект №11. Замена КЛ -10 кВ в центральной части поселка Ванино с целью энергосбережения и повышения энергетической эффективности, улучшения качества поставляемой потребителям электроэнергии и надежности электроснабжения </t>
  </si>
  <si>
    <t>Приобретение  экскаватора- погрузчика</t>
  </si>
  <si>
    <t xml:space="preserve">Приобретение  ЭТЛ-35 на базе УАЗ </t>
  </si>
  <si>
    <t>Директор МУП "Электросеть"                                                      Л.М.Измайлова</t>
  </si>
  <si>
    <t>Ожидаемое 2019 год</t>
  </si>
  <si>
    <t>Ожидаемое 2020 год</t>
  </si>
  <si>
    <t>Ожидаемое 2021 год</t>
  </si>
  <si>
    <t>Ожидаемое 2022 год</t>
  </si>
  <si>
    <t>Капитальные вложения (инвестиционная программа)</t>
  </si>
  <si>
    <t>прибыль (инвестиционная программа)</t>
  </si>
  <si>
    <t>прибыль на социальные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</si>
</sst>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00"/>
    <numFmt numFmtId="165" formatCode="0.0000"/>
    <numFmt numFmtId="166" formatCode="#,##0.0"/>
    <numFmt numFmtId="167" formatCode="#,##0.000"/>
    <numFmt numFmtId="168" formatCode="0.000%"/>
    <numFmt numFmtId="169" formatCode="0.0"/>
    <numFmt numFmtId="170" formatCode="0.00000"/>
  </numFmts>
  <fonts count="10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i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ourier New"/>
      <family val="3"/>
      <charset val="204"/>
    </font>
    <font>
      <sz val="8"/>
      <color indexed="10"/>
      <name val="Times New Roman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"/>
      <color indexed="10"/>
      <name val="Times New Roman Cyr"/>
      <family val="1"/>
      <charset val="204"/>
    </font>
    <font>
      <b/>
      <sz val="8"/>
      <name val="Times New Roman Cyr"/>
      <family val="1"/>
      <charset val="204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10"/>
      <name val="Times New Roman CYR"/>
      <charset val="204"/>
    </font>
    <font>
      <b/>
      <i/>
      <sz val="10"/>
      <name val="Arial Cyr"/>
      <charset val="204"/>
    </font>
    <font>
      <b/>
      <sz val="12"/>
      <name val="Arial Cyr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</font>
    <font>
      <i/>
      <sz val="9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Calibri"/>
      <family val="2"/>
      <charset val="204"/>
      <scheme val="minor"/>
    </font>
    <font>
      <b/>
      <sz val="8.5"/>
      <name val="Arial Cyr"/>
      <charset val="204"/>
    </font>
    <font>
      <sz val="8.5"/>
      <name val="Arial Cyr"/>
      <charset val="204"/>
    </font>
    <font>
      <sz val="8.5"/>
      <color theme="1"/>
      <name val="Arial"/>
      <family val="2"/>
      <charset val="204"/>
    </font>
    <font>
      <b/>
      <sz val="8.5"/>
      <color theme="1"/>
      <name val="Calibri"/>
      <family val="2"/>
      <scheme val="minor"/>
    </font>
    <font>
      <b/>
      <sz val="8.5"/>
      <color theme="1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 tint="0.14999847407452621"/>
      <name val="Times New Roman"/>
      <family val="1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Times New Roman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5117038483843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9" fontId="19" fillId="0" borderId="0" applyFont="0" applyFill="0" applyBorder="0" applyAlignment="0" applyProtection="0"/>
    <xf numFmtId="0" fontId="21" fillId="0" borderId="0" applyBorder="0">
      <alignment horizontal="center" vertical="center" wrapText="1"/>
    </xf>
    <xf numFmtId="0" fontId="23" fillId="0" borderId="28" applyBorder="0">
      <alignment horizontal="center" vertical="center" wrapText="1"/>
    </xf>
    <xf numFmtId="4" fontId="24" fillId="4" borderId="10" applyBorder="0">
      <alignment horizontal="right"/>
    </xf>
    <xf numFmtId="4" fontId="24" fillId="5" borderId="0" applyBorder="0">
      <alignment horizontal="right"/>
    </xf>
    <xf numFmtId="4" fontId="24" fillId="6" borderId="44" applyBorder="0">
      <alignment horizontal="right"/>
    </xf>
    <xf numFmtId="0" fontId="5" fillId="0" borderId="0"/>
    <xf numFmtId="0" fontId="26" fillId="0" borderId="0"/>
    <xf numFmtId="0" fontId="5" fillId="0" borderId="0"/>
    <xf numFmtId="0" fontId="85" fillId="0" borderId="0"/>
    <xf numFmtId="0" fontId="5" fillId="0" borderId="0"/>
    <xf numFmtId="49" fontId="24" fillId="0" borderId="0" applyBorder="0">
      <alignment vertical="top"/>
    </xf>
    <xf numFmtId="0" fontId="5" fillId="0" borderId="0"/>
    <xf numFmtId="43" fontId="19" fillId="0" borderId="0" applyFont="0" applyFill="0" applyBorder="0" applyAlignment="0" applyProtection="0"/>
  </cellStyleXfs>
  <cellXfs count="1482">
    <xf numFmtId="0" fontId="0" fillId="0" borderId="0" xfId="0"/>
    <xf numFmtId="0" fontId="1" fillId="2" borderId="0" xfId="0" applyFont="1" applyFill="1"/>
    <xf numFmtId="0" fontId="1" fillId="0" borderId="14" xfId="0" applyFont="1" applyBorder="1" applyAlignment="1">
      <alignment horizontal="right"/>
    </xf>
    <xf numFmtId="0" fontId="1" fillId="0" borderId="15" xfId="0" applyFont="1" applyBorder="1"/>
    <xf numFmtId="0" fontId="2" fillId="0" borderId="29" xfId="0" applyFont="1" applyBorder="1" applyAlignment="1">
      <alignment horizontal="center"/>
    </xf>
    <xf numFmtId="0" fontId="2" fillId="0" borderId="27" xfId="0" applyFont="1" applyBorder="1"/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5" xfId="0" applyFont="1" applyBorder="1"/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2" xfId="0" applyFont="1" applyBorder="1"/>
    <xf numFmtId="0" fontId="4" fillId="3" borderId="10" xfId="0" applyFont="1" applyFill="1" applyBorder="1" applyAlignment="1">
      <alignment horizontal="center"/>
    </xf>
    <xf numFmtId="0" fontId="1" fillId="0" borderId="14" xfId="0" applyFont="1" applyBorder="1"/>
    <xf numFmtId="0" fontId="4" fillId="0" borderId="2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Fill="1" applyBorder="1"/>
    <xf numFmtId="0" fontId="4" fillId="0" borderId="0" xfId="0" applyFont="1" applyBorder="1" applyAlignment="1"/>
    <xf numFmtId="0" fontId="2" fillId="0" borderId="0" xfId="0" applyFont="1"/>
    <xf numFmtId="0" fontId="2" fillId="0" borderId="0" xfId="0" applyFont="1" applyBorder="1" applyAlignment="1"/>
    <xf numFmtId="0" fontId="0" fillId="0" borderId="0" xfId="0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0" borderId="10" xfId="0" applyFont="1" applyBorder="1"/>
    <xf numFmtId="0" fontId="2" fillId="0" borderId="43" xfId="0" applyFont="1" applyBorder="1"/>
    <xf numFmtId="0" fontId="10" fillId="0" borderId="11" xfId="0" applyFont="1" applyBorder="1"/>
    <xf numFmtId="0" fontId="10" fillId="0" borderId="10" xfId="0" applyFont="1" applyBorder="1"/>
    <xf numFmtId="0" fontId="0" fillId="0" borderId="10" xfId="0" applyBorder="1"/>
    <xf numFmtId="0" fontId="6" fillId="2" borderId="10" xfId="0" applyFont="1" applyFill="1" applyBorder="1"/>
    <xf numFmtId="0" fontId="9" fillId="2" borderId="58" xfId="0" applyFont="1" applyFill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13" fillId="2" borderId="0" xfId="0" applyFont="1" applyFill="1" applyAlignment="1"/>
    <xf numFmtId="0" fontId="14" fillId="2" borderId="0" xfId="0" applyFont="1" applyFill="1"/>
    <xf numFmtId="0" fontId="18" fillId="0" borderId="0" xfId="0" applyFont="1"/>
    <xf numFmtId="0" fontId="4" fillId="0" borderId="10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2" borderId="64" xfId="0" applyFont="1" applyFill="1" applyBorder="1" applyAlignment="1"/>
    <xf numFmtId="0" fontId="4" fillId="2" borderId="18" xfId="0" applyFont="1" applyFill="1" applyBorder="1" applyAlignment="1"/>
    <xf numFmtId="0" fontId="4" fillId="2" borderId="22" xfId="0" applyFont="1" applyFill="1" applyBorder="1" applyAlignment="1"/>
    <xf numFmtId="0" fontId="1" fillId="0" borderId="11" xfId="0" applyFont="1" applyBorder="1"/>
    <xf numFmtId="2" fontId="1" fillId="0" borderId="10" xfId="0" applyNumberFormat="1" applyFont="1" applyBorder="1"/>
    <xf numFmtId="1" fontId="1" fillId="0" borderId="10" xfId="0" applyNumberFormat="1" applyFont="1" applyBorder="1"/>
    <xf numFmtId="0" fontId="1" fillId="2" borderId="9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9" fillId="2" borderId="56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3" fillId="0" borderId="45" xfId="3" applyBorder="1">
      <alignment horizontal="center" vertical="center" wrapText="1"/>
    </xf>
    <xf numFmtId="0" fontId="23" fillId="0" borderId="46" xfId="3" applyBorder="1">
      <alignment horizontal="center" vertical="center" wrapText="1"/>
    </xf>
    <xf numFmtId="0" fontId="23" fillId="0" borderId="10" xfId="3" applyBorder="1">
      <alignment horizontal="center" vertical="center" wrapText="1"/>
    </xf>
    <xf numFmtId="0" fontId="23" fillId="0" borderId="15" xfId="3" applyBorder="1">
      <alignment horizontal="center" vertical="center" wrapText="1"/>
    </xf>
    <xf numFmtId="0" fontId="23" fillId="0" borderId="14" xfId="3" applyBorder="1">
      <alignment horizontal="center" vertical="center" wrapText="1"/>
    </xf>
    <xf numFmtId="0" fontId="23" fillId="0" borderId="10" xfId="3" applyBorder="1" applyAlignment="1">
      <alignment horizontal="center" vertical="center" wrapText="1"/>
    </xf>
    <xf numFmtId="0" fontId="23" fillId="0" borderId="10" xfId="3" applyFont="1" applyBorder="1">
      <alignment horizontal="center" vertical="center" wrapText="1"/>
    </xf>
    <xf numFmtId="0" fontId="23" fillId="0" borderId="15" xfId="3" applyFont="1" applyBorder="1">
      <alignment horizontal="center" vertical="center" wrapText="1"/>
    </xf>
    <xf numFmtId="49" fontId="0" fillId="0" borderId="10" xfId="0" applyNumberFormat="1" applyBorder="1" applyAlignment="1">
      <alignment vertical="top"/>
    </xf>
    <xf numFmtId="4" fontId="24" fillId="4" borderId="10" xfId="4" applyNumberFormat="1" applyBorder="1" applyProtection="1">
      <alignment horizontal="right"/>
    </xf>
    <xf numFmtId="4" fontId="24" fillId="5" borderId="15" xfId="5" applyBorder="1">
      <alignment horizontal="right"/>
    </xf>
    <xf numFmtId="17" fontId="0" fillId="0" borderId="10" xfId="0" quotePrefix="1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10" xfId="0" applyNumberFormat="1" applyBorder="1" applyAlignment="1">
      <alignment vertical="top" wrapText="1"/>
    </xf>
    <xf numFmtId="4" fontId="0" fillId="4" borderId="10" xfId="0" applyNumberFormat="1" applyFill="1" applyBorder="1" applyAlignment="1" applyProtection="1">
      <alignment vertical="top"/>
    </xf>
    <xf numFmtId="4" fontId="23" fillId="5" borderId="15" xfId="5" applyFont="1" applyBorder="1">
      <alignment horizontal="right"/>
    </xf>
    <xf numFmtId="49" fontId="0" fillId="0" borderId="47" xfId="0" applyNumberFormat="1" applyBorder="1" applyAlignment="1">
      <alignment vertical="top"/>
    </xf>
    <xf numFmtId="4" fontId="0" fillId="4" borderId="47" xfId="0" applyNumberFormat="1" applyFill="1" applyBorder="1" applyAlignment="1" applyProtection="1">
      <alignment vertical="top"/>
    </xf>
    <xf numFmtId="4" fontId="23" fillId="5" borderId="48" xfId="6" applyFont="1" applyFill="1" applyBorder="1">
      <alignment horizontal="right"/>
    </xf>
    <xf numFmtId="0" fontId="20" fillId="0" borderId="0" xfId="0" applyFont="1"/>
    <xf numFmtId="0" fontId="9" fillId="0" borderId="0" xfId="0" applyFont="1"/>
    <xf numFmtId="0" fontId="7" fillId="0" borderId="10" xfId="0" applyFont="1" applyBorder="1"/>
    <xf numFmtId="0" fontId="7" fillId="2" borderId="10" xfId="0" applyFont="1" applyFill="1" applyBorder="1"/>
    <xf numFmtId="0" fontId="14" fillId="0" borderId="0" xfId="0" applyFont="1" applyAlignment="1">
      <alignment horizontal="justify"/>
    </xf>
    <xf numFmtId="0" fontId="14" fillId="0" borderId="43" xfId="0" applyFont="1" applyBorder="1" applyAlignment="1">
      <alignment horizontal="justify" vertical="top" wrapText="1"/>
    </xf>
    <xf numFmtId="1" fontId="14" fillId="0" borderId="43" xfId="0" applyNumberFormat="1" applyFont="1" applyBorder="1" applyAlignment="1">
      <alignment horizontal="justify" vertical="top" wrapText="1"/>
    </xf>
    <xf numFmtId="2" fontId="14" fillId="0" borderId="43" xfId="0" applyNumberFormat="1" applyFont="1" applyBorder="1" applyAlignment="1">
      <alignment horizontal="justify" vertical="top" wrapText="1"/>
    </xf>
    <xf numFmtId="169" fontId="14" fillId="0" borderId="43" xfId="0" applyNumberFormat="1" applyFont="1" applyBorder="1" applyAlignment="1">
      <alignment horizontal="justify" vertical="top" wrapText="1"/>
    </xf>
    <xf numFmtId="0" fontId="13" fillId="8" borderId="8" xfId="0" applyFont="1" applyFill="1" applyBorder="1" applyAlignment="1">
      <alignment horizontal="justify" vertical="top" wrapText="1"/>
    </xf>
    <xf numFmtId="0" fontId="13" fillId="8" borderId="43" xfId="0" applyFont="1" applyFill="1" applyBorder="1" applyAlignment="1">
      <alignment horizontal="justify" vertical="top" wrapText="1"/>
    </xf>
    <xf numFmtId="0" fontId="14" fillId="8" borderId="43" xfId="0" applyFont="1" applyFill="1" applyBorder="1" applyAlignment="1">
      <alignment horizontal="justify" vertical="top" wrapText="1"/>
    </xf>
    <xf numFmtId="1" fontId="13" fillId="8" borderId="43" xfId="0" applyNumberFormat="1" applyFont="1" applyFill="1" applyBorder="1" applyAlignment="1">
      <alignment horizontal="justify" vertical="top" wrapText="1"/>
    </xf>
    <xf numFmtId="0" fontId="13" fillId="2" borderId="8" xfId="0" applyFont="1" applyFill="1" applyBorder="1" applyAlignment="1">
      <alignment horizontal="justify" vertical="top" wrapText="1"/>
    </xf>
    <xf numFmtId="0" fontId="13" fillId="2" borderId="43" xfId="0" applyFont="1" applyFill="1" applyBorder="1" applyAlignment="1">
      <alignment horizontal="justify" vertical="top" wrapText="1"/>
    </xf>
    <xf numFmtId="0" fontId="14" fillId="2" borderId="43" xfId="0" applyFont="1" applyFill="1" applyBorder="1" applyAlignment="1">
      <alignment horizontal="justify" vertical="top" wrapText="1"/>
    </xf>
    <xf numFmtId="0" fontId="14" fillId="2" borderId="8" xfId="0" applyFont="1" applyFill="1" applyBorder="1" applyAlignment="1">
      <alignment horizontal="justify" vertical="top" wrapText="1"/>
    </xf>
    <xf numFmtId="169" fontId="14" fillId="2" borderId="43" xfId="0" applyNumberFormat="1" applyFont="1" applyFill="1" applyBorder="1" applyAlignment="1">
      <alignment horizontal="justify" vertical="top" wrapText="1"/>
    </xf>
    <xf numFmtId="169" fontId="14" fillId="0" borderId="43" xfId="0" applyNumberFormat="1" applyFont="1" applyBorder="1" applyAlignment="1">
      <alignment horizontal="left" vertical="top" wrapText="1"/>
    </xf>
    <xf numFmtId="169" fontId="13" fillId="2" borderId="43" xfId="0" applyNumberFormat="1" applyFont="1" applyFill="1" applyBorder="1" applyAlignment="1">
      <alignment horizontal="justify" vertical="top" wrapText="1"/>
    </xf>
    <xf numFmtId="169" fontId="13" fillId="8" borderId="43" xfId="0" applyNumberFormat="1" applyFont="1" applyFill="1" applyBorder="1" applyAlignment="1">
      <alignment horizontal="justify" vertical="top" wrapText="1"/>
    </xf>
    <xf numFmtId="0" fontId="14" fillId="8" borderId="8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center" wrapText="1"/>
    </xf>
    <xf numFmtId="0" fontId="0" fillId="2" borderId="10" xfId="0" applyFill="1" applyBorder="1"/>
    <xf numFmtId="0" fontId="0" fillId="2" borderId="10" xfId="0" applyFill="1" applyBorder="1" applyAlignment="1">
      <alignment wrapText="1"/>
    </xf>
    <xf numFmtId="1" fontId="0" fillId="2" borderId="10" xfId="0" applyNumberFormat="1" applyFill="1" applyBorder="1"/>
    <xf numFmtId="1" fontId="20" fillId="2" borderId="10" xfId="0" applyNumberFormat="1" applyFont="1" applyFill="1" applyBorder="1"/>
    <xf numFmtId="0" fontId="0" fillId="0" borderId="11" xfId="0" applyBorder="1"/>
    <xf numFmtId="0" fontId="14" fillId="2" borderId="10" xfId="9" applyFont="1" applyFill="1" applyBorder="1" applyAlignment="1">
      <alignment horizontal="center"/>
    </xf>
    <xf numFmtId="0" fontId="13" fillId="2" borderId="10" xfId="9" applyFont="1" applyFill="1" applyBorder="1" applyAlignment="1">
      <alignment horizontal="center"/>
    </xf>
    <xf numFmtId="16" fontId="14" fillId="2" borderId="10" xfId="9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7" fillId="2" borderId="10" xfId="0" applyFont="1" applyFill="1" applyBorder="1" applyAlignment="1">
      <alignment wrapText="1"/>
    </xf>
    <xf numFmtId="0" fontId="36" fillId="0" borderId="0" xfId="0" applyFont="1"/>
    <xf numFmtId="0" fontId="28" fillId="2" borderId="10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vertical="top" wrapText="1"/>
    </xf>
    <xf numFmtId="0" fontId="28" fillId="2" borderId="0" xfId="0" applyFont="1" applyFill="1" applyBorder="1" applyAlignment="1">
      <alignment vertical="top" wrapText="1"/>
    </xf>
    <xf numFmtId="0" fontId="28" fillId="2" borderId="10" xfId="0" applyFont="1" applyFill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14" fillId="2" borderId="0" xfId="0" applyFont="1" applyFill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right"/>
    </xf>
    <xf numFmtId="0" fontId="15" fillId="0" borderId="10" xfId="0" applyFont="1" applyBorder="1" applyAlignment="1">
      <alignment horizontal="right" vertical="center" wrapText="1"/>
    </xf>
    <xf numFmtId="0" fontId="35" fillId="0" borderId="10" xfId="0" applyFont="1" applyBorder="1" applyAlignment="1">
      <alignment horizontal="right"/>
    </xf>
    <xf numFmtId="0" fontId="15" fillId="2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/>
    </xf>
    <xf numFmtId="0" fontId="35" fillId="0" borderId="10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/>
    </xf>
    <xf numFmtId="1" fontId="35" fillId="2" borderId="10" xfId="0" applyNumberFormat="1" applyFont="1" applyFill="1" applyBorder="1" applyAlignment="1">
      <alignment horizontal="right"/>
    </xf>
    <xf numFmtId="169" fontId="35" fillId="2" borderId="10" xfId="0" applyNumberFormat="1" applyFont="1" applyFill="1" applyBorder="1" applyAlignment="1">
      <alignment horizontal="right" wrapText="1"/>
    </xf>
    <xf numFmtId="169" fontId="33" fillId="2" borderId="1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wrapText="1"/>
    </xf>
    <xf numFmtId="0" fontId="39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wrapText="1"/>
    </xf>
    <xf numFmtId="167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0" fontId="35" fillId="0" borderId="10" xfId="0" applyFont="1" applyBorder="1" applyAlignment="1">
      <alignment wrapText="1"/>
    </xf>
    <xf numFmtId="0" fontId="27" fillId="0" borderId="0" xfId="0" applyFont="1"/>
    <xf numFmtId="0" fontId="39" fillId="0" borderId="10" xfId="0" applyFont="1" applyBorder="1"/>
    <xf numFmtId="0" fontId="43" fillId="0" borderId="10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wrapText="1"/>
    </xf>
    <xf numFmtId="0" fontId="39" fillId="0" borderId="10" xfId="0" applyFont="1" applyFill="1" applyBorder="1" applyAlignment="1">
      <alignment horizontal="center"/>
    </xf>
    <xf numFmtId="0" fontId="44" fillId="0" borderId="0" xfId="0" applyFont="1" applyFill="1" applyBorder="1" applyAlignment="1">
      <alignment wrapText="1"/>
    </xf>
    <xf numFmtId="0" fontId="13" fillId="2" borderId="10" xfId="0" applyFont="1" applyFill="1" applyBorder="1" applyAlignment="1">
      <alignment horizontal="center" vertical="center" wrapText="1"/>
    </xf>
    <xf numFmtId="169" fontId="45" fillId="2" borderId="0" xfId="0" applyNumberFormat="1" applyFont="1" applyFill="1" applyAlignment="1">
      <alignment vertical="center"/>
    </xf>
    <xf numFmtId="169" fontId="0" fillId="2" borderId="0" xfId="0" applyNumberFormat="1" applyFill="1" applyAlignment="1">
      <alignment horizontal="center" vertical="center" wrapText="1"/>
    </xf>
    <xf numFmtId="169" fontId="2" fillId="2" borderId="0" xfId="0" applyNumberFormat="1" applyFont="1" applyFill="1" applyAlignment="1">
      <alignment horizontal="center" vertical="center" wrapText="1"/>
    </xf>
    <xf numFmtId="169" fontId="0" fillId="2" borderId="0" xfId="0" applyNumberFormat="1" applyFill="1" applyAlignment="1">
      <alignment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 wrapText="1"/>
    </xf>
    <xf numFmtId="169" fontId="9" fillId="3" borderId="10" xfId="0" applyNumberFormat="1" applyFont="1" applyFill="1" applyBorder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vertical="center" wrapText="1"/>
    </xf>
    <xf numFmtId="169" fontId="9" fillId="3" borderId="23" xfId="0" applyNumberFormat="1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169" fontId="0" fillId="3" borderId="0" xfId="0" applyNumberFormat="1" applyFill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2" fontId="6" fillId="0" borderId="11" xfId="0" applyNumberFormat="1" applyFont="1" applyBorder="1" applyAlignment="1"/>
    <xf numFmtId="0" fontId="6" fillId="0" borderId="14" xfId="0" applyFont="1" applyBorder="1"/>
    <xf numFmtId="0" fontId="6" fillId="0" borderId="10" xfId="0" applyFont="1" applyBorder="1"/>
    <xf numFmtId="0" fontId="48" fillId="0" borderId="60" xfId="0" applyFont="1" applyBorder="1" applyAlignment="1"/>
    <xf numFmtId="0" fontId="48" fillId="0" borderId="21" xfId="0" applyFont="1" applyBorder="1" applyAlignment="1">
      <alignment wrapText="1"/>
    </xf>
    <xf numFmtId="0" fontId="48" fillId="0" borderId="21" xfId="0" applyFont="1" applyBorder="1" applyAlignment="1"/>
    <xf numFmtId="2" fontId="6" fillId="0" borderId="56" xfId="0" applyNumberFormat="1" applyFont="1" applyBorder="1" applyAlignment="1"/>
    <xf numFmtId="0" fontId="48" fillId="0" borderId="25" xfId="0" applyFont="1" applyBorder="1" applyAlignment="1"/>
    <xf numFmtId="0" fontId="48" fillId="0" borderId="26" xfId="0" applyFont="1" applyBorder="1" applyAlignment="1">
      <alignment wrapText="1"/>
    </xf>
    <xf numFmtId="0" fontId="48" fillId="0" borderId="26" xfId="0" applyFont="1" applyBorder="1" applyAlignment="1"/>
    <xf numFmtId="2" fontId="6" fillId="0" borderId="35" xfId="0" applyNumberFormat="1" applyFont="1" applyBorder="1" applyAlignment="1"/>
    <xf numFmtId="0" fontId="6" fillId="0" borderId="33" xfId="0" applyFont="1" applyBorder="1"/>
    <xf numFmtId="0" fontId="6" fillId="0" borderId="23" xfId="0" applyFont="1" applyBorder="1"/>
    <xf numFmtId="0" fontId="6" fillId="0" borderId="3" xfId="0" applyFont="1" applyBorder="1"/>
    <xf numFmtId="0" fontId="6" fillId="0" borderId="4" xfId="0" applyFont="1" applyBorder="1"/>
    <xf numFmtId="0" fontId="29" fillId="2" borderId="31" xfId="0" applyFont="1" applyFill="1" applyBorder="1"/>
    <xf numFmtId="0" fontId="12" fillId="2" borderId="0" xfId="0" applyFont="1" applyFill="1"/>
    <xf numFmtId="0" fontId="14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3" fillId="0" borderId="0" xfId="0" applyFont="1"/>
    <xf numFmtId="0" fontId="50" fillId="0" borderId="45" xfId="0" applyFont="1" applyBorder="1"/>
    <xf numFmtId="0" fontId="0" fillId="2" borderId="14" xfId="0" applyFill="1" applyBorder="1"/>
    <xf numFmtId="0" fontId="0" fillId="2" borderId="10" xfId="0" applyFill="1" applyBorder="1" applyAlignment="1">
      <alignment horizontal="right"/>
    </xf>
    <xf numFmtId="0" fontId="0" fillId="0" borderId="42" xfId="0" applyBorder="1"/>
    <xf numFmtId="0" fontId="0" fillId="2" borderId="0" xfId="0" applyFill="1" applyBorder="1"/>
    <xf numFmtId="0" fontId="20" fillId="0" borderId="10" xfId="0" applyFont="1" applyBorder="1"/>
    <xf numFmtId="0" fontId="35" fillId="2" borderId="10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1" fontId="9" fillId="0" borderId="0" xfId="0" applyNumberFormat="1" applyFont="1"/>
    <xf numFmtId="0" fontId="29" fillId="2" borderId="39" xfId="0" applyFont="1" applyFill="1" applyBorder="1" applyAlignment="1">
      <alignment vertical="top" wrapText="1"/>
    </xf>
    <xf numFmtId="0" fontId="29" fillId="2" borderId="32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29" fillId="2" borderId="43" xfId="0" applyFont="1" applyFill="1" applyBorder="1" applyAlignment="1">
      <alignment vertical="top" wrapText="1"/>
    </xf>
    <xf numFmtId="0" fontId="47" fillId="2" borderId="8" xfId="0" applyFont="1" applyFill="1" applyBorder="1" applyAlignment="1">
      <alignment vertical="top" wrapText="1"/>
    </xf>
    <xf numFmtId="0" fontId="47" fillId="2" borderId="43" xfId="0" applyFont="1" applyFill="1" applyBorder="1" applyAlignment="1">
      <alignment vertical="top" wrapText="1"/>
    </xf>
    <xf numFmtId="0" fontId="29" fillId="2" borderId="8" xfId="0" applyFont="1" applyFill="1" applyBorder="1" applyAlignment="1">
      <alignment vertical="top" wrapText="1"/>
    </xf>
    <xf numFmtId="0" fontId="54" fillId="2" borderId="43" xfId="0" applyFont="1" applyFill="1" applyBorder="1" applyAlignment="1">
      <alignment vertical="top" wrapText="1"/>
    </xf>
    <xf numFmtId="0" fontId="55" fillId="0" borderId="0" xfId="0" applyFont="1"/>
    <xf numFmtId="0" fontId="28" fillId="0" borderId="10" xfId="0" applyFont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1" fontId="0" fillId="0" borderId="10" xfId="0" applyNumberFormat="1" applyBorder="1"/>
    <xf numFmtId="0" fontId="0" fillId="2" borderId="54" xfId="0" applyFill="1" applyBorder="1"/>
    <xf numFmtId="0" fontId="50" fillId="0" borderId="23" xfId="0" applyFont="1" applyBorder="1"/>
    <xf numFmtId="0" fontId="0" fillId="2" borderId="44" xfId="0" applyFill="1" applyBorder="1"/>
    <xf numFmtId="0" fontId="0" fillId="2" borderId="45" xfId="0" applyFill="1" applyBorder="1"/>
    <xf numFmtId="0" fontId="0" fillId="2" borderId="45" xfId="0" applyFill="1" applyBorder="1" applyAlignment="1">
      <alignment horizontal="right"/>
    </xf>
    <xf numFmtId="0" fontId="0" fillId="2" borderId="63" xfId="0" applyFill="1" applyBorder="1"/>
    <xf numFmtId="0" fontId="0" fillId="0" borderId="47" xfId="0" applyBorder="1"/>
    <xf numFmtId="1" fontId="50" fillId="0" borderId="47" xfId="0" applyNumberFormat="1" applyFont="1" applyBorder="1"/>
    <xf numFmtId="1" fontId="47" fillId="2" borderId="43" xfId="0" applyNumberFormat="1" applyFont="1" applyFill="1" applyBorder="1" applyAlignment="1">
      <alignment vertical="top" wrapText="1"/>
    </xf>
    <xf numFmtId="164" fontId="49" fillId="0" borderId="10" xfId="0" applyNumberFormat="1" applyFont="1" applyBorder="1"/>
    <xf numFmtId="0" fontId="1" fillId="0" borderId="0" xfId="0" applyFont="1" applyAlignment="1">
      <alignment horizontal="right"/>
    </xf>
    <xf numFmtId="169" fontId="32" fillId="3" borderId="10" xfId="0" applyNumberFormat="1" applyFont="1" applyFill="1" applyBorder="1" applyAlignment="1">
      <alignment horizontal="center" vertical="center" wrapText="1"/>
    </xf>
    <xf numFmtId="1" fontId="56" fillId="3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12" fillId="2" borderId="10" xfId="0" applyFont="1" applyFill="1" applyBorder="1" applyAlignment="1">
      <alignment wrapText="1"/>
    </xf>
    <xf numFmtId="0" fontId="29" fillId="2" borderId="10" xfId="8" applyNumberFormat="1" applyFont="1" applyFill="1" applyBorder="1" applyAlignment="1" applyProtection="1">
      <alignment horizontal="center" vertical="top"/>
    </xf>
    <xf numFmtId="0" fontId="29" fillId="2" borderId="10" xfId="8" applyNumberFormat="1" applyFont="1" applyFill="1" applyBorder="1" applyAlignment="1" applyProtection="1">
      <alignment horizontal="center" vertical="top" wrapText="1"/>
    </xf>
    <xf numFmtId="167" fontId="15" fillId="2" borderId="10" xfId="0" applyNumberFormat="1" applyFont="1" applyFill="1" applyBorder="1" applyAlignment="1">
      <alignment horizontal="center" wrapText="1"/>
    </xf>
    <xf numFmtId="0" fontId="0" fillId="2" borderId="11" xfId="0" applyFill="1" applyBorder="1"/>
    <xf numFmtId="0" fontId="29" fillId="2" borderId="56" xfId="0" applyFont="1" applyFill="1" applyBorder="1"/>
    <xf numFmtId="0" fontId="29" fillId="2" borderId="10" xfId="0" applyFont="1" applyFill="1" applyBorder="1"/>
    <xf numFmtId="0" fontId="20" fillId="2" borderId="10" xfId="0" applyFont="1" applyFill="1" applyBorder="1"/>
    <xf numFmtId="0" fontId="20" fillId="2" borderId="0" xfId="0" applyFont="1" applyFill="1"/>
    <xf numFmtId="1" fontId="20" fillId="2" borderId="0" xfId="0" applyNumberFormat="1" applyFont="1" applyFill="1"/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10" xfId="0" applyFill="1" applyBorder="1" applyAlignment="1"/>
    <xf numFmtId="1" fontId="12" fillId="2" borderId="10" xfId="0" applyNumberFormat="1" applyFont="1" applyFill="1" applyBorder="1"/>
    <xf numFmtId="0" fontId="4" fillId="2" borderId="14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2" borderId="44" xfId="0" applyFont="1" applyFill="1" applyBorder="1" applyAlignment="1">
      <alignment horizontal="right"/>
    </xf>
    <xf numFmtId="0" fontId="4" fillId="0" borderId="45" xfId="0" applyFont="1" applyBorder="1" applyAlignment="1">
      <alignment horizontal="center"/>
    </xf>
    <xf numFmtId="0" fontId="1" fillId="0" borderId="46" xfId="0" applyFont="1" applyBorder="1"/>
    <xf numFmtId="0" fontId="1" fillId="0" borderId="44" xfId="0" applyFont="1" applyBorder="1"/>
    <xf numFmtId="0" fontId="1" fillId="0" borderId="33" xfId="0" applyFont="1" applyBorder="1"/>
    <xf numFmtId="0" fontId="1" fillId="0" borderId="24" xfId="0" applyFont="1" applyBorder="1"/>
    <xf numFmtId="0" fontId="0" fillId="0" borderId="10" xfId="0" applyBorder="1" applyAlignment="1">
      <alignment wrapText="1"/>
    </xf>
    <xf numFmtId="2" fontId="0" fillId="0" borderId="10" xfId="0" applyNumberFormat="1" applyBorder="1"/>
    <xf numFmtId="2" fontId="20" fillId="0" borderId="0" xfId="0" applyNumberFormat="1" applyFont="1"/>
    <xf numFmtId="0" fontId="9" fillId="2" borderId="1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4" fillId="0" borderId="8" xfId="0" applyFont="1" applyBorder="1" applyAlignment="1">
      <alignment horizontal="justify" vertical="top" wrapText="1"/>
    </xf>
    <xf numFmtId="0" fontId="13" fillId="9" borderId="8" xfId="0" applyFont="1" applyFill="1" applyBorder="1" applyAlignment="1">
      <alignment horizontal="justify" vertical="top" wrapText="1"/>
    </xf>
    <xf numFmtId="0" fontId="13" fillId="9" borderId="43" xfId="0" applyFont="1" applyFill="1" applyBorder="1" applyAlignment="1">
      <alignment horizontal="justify" vertical="top" wrapText="1"/>
    </xf>
    <xf numFmtId="0" fontId="14" fillId="9" borderId="43" xfId="0" applyFont="1" applyFill="1" applyBorder="1" applyAlignment="1">
      <alignment horizontal="justify" vertical="top" wrapText="1"/>
    </xf>
    <xf numFmtId="1" fontId="13" fillId="9" borderId="43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justify" vertical="top" wrapText="1"/>
    </xf>
    <xf numFmtId="9" fontId="14" fillId="0" borderId="0" xfId="0" applyNumberFormat="1" applyFont="1" applyBorder="1" applyAlignment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3" fillId="2" borderId="0" xfId="0" applyFont="1" applyFill="1" applyAlignment="1">
      <alignment horizontal="justify"/>
    </xf>
    <xf numFmtId="0" fontId="14" fillId="2" borderId="0" xfId="0" applyFont="1" applyFill="1" applyAlignment="1">
      <alignment horizontal="justify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" fillId="2" borderId="41" xfId="0" applyFont="1" applyFill="1" applyBorder="1"/>
    <xf numFmtId="0" fontId="1" fillId="2" borderId="15" xfId="0" applyFont="1" applyFill="1" applyBorder="1"/>
    <xf numFmtId="0" fontId="1" fillId="0" borderId="17" xfId="0" applyFont="1" applyBorder="1" applyAlignment="1">
      <alignment horizontal="center"/>
    </xf>
    <xf numFmtId="0" fontId="9" fillId="2" borderId="20" xfId="0" applyFont="1" applyFill="1" applyBorder="1" applyAlignment="1"/>
    <xf numFmtId="0" fontId="9" fillId="2" borderId="22" xfId="0" applyFont="1" applyFill="1" applyBorder="1" applyAlignment="1"/>
    <xf numFmtId="0" fontId="0" fillId="0" borderId="0" xfId="0" applyBorder="1" applyAlignment="1">
      <alignment wrapText="1"/>
    </xf>
    <xf numFmtId="0" fontId="17" fillId="2" borderId="0" xfId="0" applyFont="1" applyFill="1"/>
    <xf numFmtId="0" fontId="11" fillId="2" borderId="0" xfId="0" applyFont="1" applyFill="1"/>
    <xf numFmtId="0" fontId="15" fillId="2" borderId="0" xfId="0" applyFont="1" applyFill="1"/>
    <xf numFmtId="0" fontId="16" fillId="2" borderId="0" xfId="0" applyFont="1" applyFill="1" applyAlignment="1"/>
    <xf numFmtId="0" fontId="15" fillId="2" borderId="0" xfId="0" applyFont="1" applyFill="1" applyAlignment="1"/>
    <xf numFmtId="0" fontId="6" fillId="2" borderId="0" xfId="0" applyFont="1" applyFill="1"/>
    <xf numFmtId="0" fontId="8" fillId="2" borderId="1" xfId="0" applyFont="1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3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1" fontId="6" fillId="2" borderId="11" xfId="0" applyNumberFormat="1" applyFont="1" applyFill="1" applyBorder="1"/>
    <xf numFmtId="1" fontId="6" fillId="2" borderId="13" xfId="0" applyNumberFormat="1" applyFont="1" applyFill="1" applyBorder="1"/>
    <xf numFmtId="0" fontId="6" fillId="2" borderId="9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6" fillId="2" borderId="3" xfId="0" applyFont="1" applyFill="1" applyBorder="1"/>
    <xf numFmtId="1" fontId="8" fillId="2" borderId="4" xfId="0" applyNumberFormat="1" applyFont="1" applyFill="1" applyBorder="1"/>
    <xf numFmtId="0" fontId="8" fillId="2" borderId="26" xfId="0" applyFont="1" applyFill="1" applyBorder="1" applyAlignment="1"/>
    <xf numFmtId="0" fontId="6" fillId="2" borderId="3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top"/>
    </xf>
    <xf numFmtId="1" fontId="6" fillId="2" borderId="10" xfId="0" applyNumberFormat="1" applyFont="1" applyFill="1" applyBorder="1"/>
    <xf numFmtId="0" fontId="6" fillId="2" borderId="14" xfId="0" applyFont="1" applyFill="1" applyBorder="1" applyAlignment="1">
      <alignment horizontal="right" vertical="top"/>
    </xf>
    <xf numFmtId="0" fontId="6" fillId="2" borderId="11" xfId="0" applyFont="1" applyFill="1" applyBorder="1" applyAlignment="1">
      <alignment horizontal="right" vertical="top"/>
    </xf>
    <xf numFmtId="0" fontId="9" fillId="2" borderId="5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right" vertical="top"/>
    </xf>
    <xf numFmtId="0" fontId="6" fillId="2" borderId="23" xfId="0" applyFont="1" applyFill="1" applyBorder="1" applyAlignment="1">
      <alignment horizontal="center"/>
    </xf>
    <xf numFmtId="0" fontId="6" fillId="2" borderId="37" xfId="0" applyFont="1" applyFill="1" applyBorder="1"/>
    <xf numFmtId="1" fontId="6" fillId="2" borderId="37" xfId="0" applyNumberFormat="1" applyFont="1" applyFill="1" applyBorder="1"/>
    <xf numFmtId="1" fontId="8" fillId="2" borderId="6" xfId="0" applyNumberFormat="1" applyFont="1" applyFill="1" applyBorder="1"/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right" wrapText="1"/>
    </xf>
    <xf numFmtId="1" fontId="6" fillId="2" borderId="13" xfId="0" applyNumberFormat="1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right" wrapText="1"/>
    </xf>
    <xf numFmtId="1" fontId="6" fillId="2" borderId="10" xfId="0" applyNumberFormat="1" applyFont="1" applyFill="1" applyBorder="1" applyAlignment="1">
      <alignment horizontal="right" wrapText="1"/>
    </xf>
    <xf numFmtId="1" fontId="6" fillId="2" borderId="15" xfId="0" applyNumberFormat="1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6" fillId="2" borderId="58" xfId="0" applyFont="1" applyFill="1" applyBorder="1" applyAlignment="1">
      <alignment horizontal="right"/>
    </xf>
    <xf numFmtId="0" fontId="9" fillId="2" borderId="23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57" xfId="0" applyFont="1" applyFill="1" applyBorder="1" applyAlignment="1"/>
    <xf numFmtId="0" fontId="9" fillId="2" borderId="58" xfId="0" applyFont="1" applyFill="1" applyBorder="1" applyAlignment="1"/>
    <xf numFmtId="1" fontId="6" fillId="2" borderId="23" xfId="0" applyNumberFormat="1" applyFont="1" applyFill="1" applyBorder="1" applyAlignment="1">
      <alignment horizontal="right" wrapText="1"/>
    </xf>
    <xf numFmtId="1" fontId="6" fillId="2" borderId="24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/>
    </xf>
    <xf numFmtId="0" fontId="6" fillId="2" borderId="4" xfId="0" applyFont="1" applyFill="1" applyBorder="1"/>
    <xf numFmtId="1" fontId="8" fillId="2" borderId="4" xfId="0" applyNumberFormat="1" applyFont="1" applyFill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0" fontId="6" fillId="2" borderId="2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center"/>
    </xf>
    <xf numFmtId="1" fontId="6" fillId="2" borderId="45" xfId="0" applyNumberFormat="1" applyFont="1" applyFill="1" applyBorder="1"/>
    <xf numFmtId="1" fontId="6" fillId="2" borderId="15" xfId="0" applyNumberFormat="1" applyFont="1" applyFill="1" applyBorder="1"/>
    <xf numFmtId="1" fontId="6" fillId="2" borderId="23" xfId="0" applyNumberFormat="1" applyFont="1" applyFill="1" applyBorder="1"/>
    <xf numFmtId="1" fontId="6" fillId="2" borderId="24" xfId="0" applyNumberFormat="1" applyFont="1" applyFill="1" applyBorder="1"/>
    <xf numFmtId="0" fontId="6" fillId="2" borderId="66" xfId="0" applyFont="1" applyFill="1" applyBorder="1"/>
    <xf numFmtId="0" fontId="6" fillId="2" borderId="4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0" fontId="52" fillId="2" borderId="0" xfId="0" applyFont="1" applyFill="1"/>
    <xf numFmtId="169" fontId="14" fillId="2" borderId="10" xfId="0" applyNumberFormat="1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top" wrapText="1"/>
    </xf>
    <xf numFmtId="0" fontId="39" fillId="2" borderId="10" xfId="0" applyFont="1" applyFill="1" applyBorder="1" applyAlignment="1">
      <alignment wrapText="1"/>
    </xf>
    <xf numFmtId="166" fontId="39" fillId="2" borderId="11" xfId="0" applyNumberFormat="1" applyFont="1" applyFill="1" applyBorder="1" applyAlignment="1">
      <alignment horizontal="center"/>
    </xf>
    <xf numFmtId="166" fontId="39" fillId="2" borderId="10" xfId="0" applyNumberFormat="1" applyFont="1" applyFill="1" applyBorder="1" applyAlignment="1">
      <alignment horizontal="center"/>
    </xf>
    <xf numFmtId="166" fontId="40" fillId="2" borderId="10" xfId="0" applyNumberFormat="1" applyFont="1" applyFill="1" applyBorder="1" applyAlignment="1">
      <alignment horizontal="center"/>
    </xf>
    <xf numFmtId="9" fontId="39" fillId="2" borderId="10" xfId="1" applyNumberFormat="1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 vertical="center"/>
    </xf>
    <xf numFmtId="166" fontId="41" fillId="2" borderId="10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wrapText="1"/>
    </xf>
    <xf numFmtId="0" fontId="42" fillId="2" borderId="10" xfId="0" applyFont="1" applyFill="1" applyBorder="1" applyAlignment="1">
      <alignment horizontal="center" wrapText="1"/>
    </xf>
    <xf numFmtId="0" fontId="37" fillId="2" borderId="10" xfId="0" applyFont="1" applyFill="1" applyBorder="1" applyAlignment="1">
      <alignment horizontal="center" wrapText="1"/>
    </xf>
    <xf numFmtId="167" fontId="37" fillId="2" borderId="10" xfId="0" applyNumberFormat="1" applyFont="1" applyFill="1" applyBorder="1" applyAlignment="1">
      <alignment horizontal="center" wrapText="1"/>
    </xf>
    <xf numFmtId="0" fontId="50" fillId="2" borderId="0" xfId="0" applyFont="1" applyFill="1" applyAlignment="1"/>
    <xf numFmtId="1" fontId="0" fillId="2" borderId="0" xfId="0" applyNumberFormat="1" applyFill="1"/>
    <xf numFmtId="0" fontId="32" fillId="2" borderId="0" xfId="0" applyFont="1" applyFill="1"/>
    <xf numFmtId="0" fontId="13" fillId="2" borderId="0" xfId="0" applyFont="1" applyFill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2" borderId="4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2" fontId="6" fillId="2" borderId="11" xfId="0" applyNumberFormat="1" applyFont="1" applyFill="1" applyBorder="1" applyAlignment="1"/>
    <xf numFmtId="0" fontId="6" fillId="2" borderId="14" xfId="0" applyFont="1" applyFill="1" applyBorder="1"/>
    <xf numFmtId="0" fontId="0" fillId="0" borderId="0" xfId="0" applyBorder="1" applyAlignment="1">
      <alignment horizont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49" fontId="7" fillId="0" borderId="0" xfId="0" applyNumberFormat="1" applyFont="1" applyFill="1" applyAlignment="1">
      <alignment horizontal="left"/>
    </xf>
    <xf numFmtId="49" fontId="5" fillId="0" borderId="0" xfId="0" applyNumberFormat="1" applyFont="1" applyFill="1"/>
    <xf numFmtId="0" fontId="5" fillId="0" borderId="0" xfId="0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9" fillId="0" borderId="11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165" fontId="0" fillId="0" borderId="10" xfId="0" applyNumberFormat="1" applyBorder="1"/>
    <xf numFmtId="14" fontId="0" fillId="0" borderId="10" xfId="0" applyNumberFormat="1" applyBorder="1" applyAlignment="1">
      <alignment horizontal="center" vertical="center"/>
    </xf>
    <xf numFmtId="0" fontId="59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59" fillId="0" borderId="10" xfId="0" applyFont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/>
    </xf>
    <xf numFmtId="1" fontId="2" fillId="0" borderId="0" xfId="0" applyNumberFormat="1" applyFont="1" applyBorder="1" applyAlignment="1"/>
    <xf numFmtId="49" fontId="63" fillId="2" borderId="10" xfId="0" applyNumberFormat="1" applyFont="1" applyFill="1" applyBorder="1" applyAlignment="1">
      <alignment horizontal="left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left" vertical="center" wrapText="1"/>
    </xf>
    <xf numFmtId="49" fontId="63" fillId="2" borderId="16" xfId="0" applyNumberFormat="1" applyFont="1" applyFill="1" applyBorder="1" applyAlignment="1">
      <alignment horizontal="left" vertical="center" wrapText="1"/>
    </xf>
    <xf numFmtId="49" fontId="63" fillId="2" borderId="18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/>
    <xf numFmtId="49" fontId="64" fillId="2" borderId="51" xfId="0" applyNumberFormat="1" applyFont="1" applyFill="1" applyBorder="1" applyAlignment="1">
      <alignment horizontal="left" vertical="center" wrapText="1"/>
    </xf>
    <xf numFmtId="49" fontId="64" fillId="2" borderId="54" xfId="0" applyNumberFormat="1" applyFont="1" applyFill="1" applyBorder="1" applyAlignment="1">
      <alignment horizontal="left" vertical="center" wrapText="1"/>
    </xf>
    <xf numFmtId="0" fontId="69" fillId="0" borderId="45" xfId="3" applyNumberFormat="1" applyFont="1" applyBorder="1">
      <alignment horizontal="center" vertical="center" wrapText="1"/>
    </xf>
    <xf numFmtId="0" fontId="69" fillId="0" borderId="45" xfId="3" applyFont="1" applyBorder="1">
      <alignment horizontal="center" vertical="center" wrapText="1"/>
    </xf>
    <xf numFmtId="0" fontId="69" fillId="0" borderId="46" xfId="3" applyFont="1" applyBorder="1">
      <alignment horizontal="center" vertical="center" wrapText="1"/>
    </xf>
    <xf numFmtId="0" fontId="69" fillId="0" borderId="10" xfId="3" applyNumberFormat="1" applyFont="1" applyBorder="1">
      <alignment horizontal="center" vertical="center" wrapText="1"/>
    </xf>
    <xf numFmtId="0" fontId="69" fillId="0" borderId="10" xfId="3" applyFont="1" applyBorder="1">
      <alignment horizontal="center" vertical="center" wrapText="1"/>
    </xf>
    <xf numFmtId="0" fontId="69" fillId="0" borderId="15" xfId="3" applyFont="1" applyBorder="1">
      <alignment horizontal="center" vertical="center" wrapText="1"/>
    </xf>
    <xf numFmtId="0" fontId="68" fillId="0" borderId="14" xfId="3" applyFont="1" applyBorder="1">
      <alignment horizontal="center" vertical="center" wrapText="1"/>
    </xf>
    <xf numFmtId="0" fontId="69" fillId="0" borderId="14" xfId="3" applyFont="1" applyBorder="1">
      <alignment horizontal="center" vertical="center" wrapText="1"/>
    </xf>
    <xf numFmtId="49" fontId="18" fillId="0" borderId="10" xfId="0" applyNumberFormat="1" applyFont="1" applyBorder="1" applyAlignment="1">
      <alignment vertical="top"/>
    </xf>
    <xf numFmtId="4" fontId="70" fillId="4" borderId="10" xfId="4" applyNumberFormat="1" applyFont="1" applyBorder="1" applyProtection="1">
      <alignment horizontal="right"/>
    </xf>
    <xf numFmtId="4" fontId="70" fillId="5" borderId="15" xfId="5" applyFont="1" applyBorder="1">
      <alignment horizontal="right"/>
    </xf>
    <xf numFmtId="49" fontId="18" fillId="0" borderId="14" xfId="0" applyNumberFormat="1" applyFont="1" applyBorder="1" applyAlignment="1">
      <alignment vertical="top"/>
    </xf>
    <xf numFmtId="4" fontId="18" fillId="4" borderId="10" xfId="0" applyNumberFormat="1" applyFont="1" applyFill="1" applyBorder="1" applyAlignment="1" applyProtection="1">
      <alignment vertical="top"/>
    </xf>
    <xf numFmtId="4" fontId="69" fillId="5" borderId="15" xfId="5" applyFont="1" applyBorder="1">
      <alignment horizontal="right"/>
    </xf>
    <xf numFmtId="4" fontId="70" fillId="4" borderId="10" xfId="4" applyNumberFormat="1" applyFont="1" applyFill="1" applyBorder="1" applyProtection="1">
      <alignment horizontal="right"/>
    </xf>
    <xf numFmtId="4" fontId="70" fillId="7" borderId="10" xfId="4" applyNumberFormat="1" applyFont="1" applyFill="1" applyBorder="1" applyProtection="1">
      <alignment horizontal="right"/>
    </xf>
    <xf numFmtId="166" fontId="69" fillId="5" borderId="15" xfId="5" applyNumberFormat="1" applyFont="1" applyBorder="1">
      <alignment horizontal="right"/>
    </xf>
    <xf numFmtId="49" fontId="18" fillId="0" borderId="19" xfId="0" applyNumberFormat="1" applyFont="1" applyBorder="1" applyAlignment="1">
      <alignment vertical="top"/>
    </xf>
    <xf numFmtId="49" fontId="18" fillId="0" borderId="47" xfId="0" applyNumberFormat="1" applyFont="1" applyBorder="1" applyAlignment="1">
      <alignment vertical="top"/>
    </xf>
    <xf numFmtId="4" fontId="18" fillId="4" borderId="47" xfId="0" applyNumberFormat="1" applyFont="1" applyFill="1" applyBorder="1" applyAlignment="1" applyProtection="1">
      <alignment vertical="top"/>
    </xf>
    <xf numFmtId="4" fontId="69" fillId="5" borderId="48" xfId="5" applyNumberFormat="1" applyFont="1" applyBorder="1">
      <alignment horizontal="right"/>
    </xf>
    <xf numFmtId="0" fontId="51" fillId="0" borderId="0" xfId="0" applyFont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/>
    <xf numFmtId="0" fontId="47" fillId="2" borderId="25" xfId="0" applyFont="1" applyFill="1" applyBorder="1" applyAlignment="1">
      <alignment horizontal="center"/>
    </xf>
    <xf numFmtId="0" fontId="47" fillId="2" borderId="35" xfId="0" applyFont="1" applyFill="1" applyBorder="1" applyAlignment="1"/>
    <xf numFmtId="0" fontId="47" fillId="2" borderId="6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8" borderId="0" xfId="0" applyFont="1" applyFill="1"/>
    <xf numFmtId="0" fontId="71" fillId="2" borderId="0" xfId="0" applyFont="1" applyFill="1"/>
    <xf numFmtId="0" fontId="71" fillId="2" borderId="10" xfId="0" applyFont="1" applyFill="1" applyBorder="1"/>
    <xf numFmtId="0" fontId="72" fillId="2" borderId="10" xfId="0" applyFont="1" applyFill="1" applyBorder="1" applyAlignment="1">
      <alignment wrapText="1"/>
    </xf>
    <xf numFmtId="0" fontId="71" fillId="2" borderId="10" xfId="0" applyFont="1" applyFill="1" applyBorder="1" applyAlignment="1">
      <alignment wrapText="1"/>
    </xf>
    <xf numFmtId="0" fontId="72" fillId="2" borderId="10" xfId="0" applyFont="1" applyFill="1" applyBorder="1"/>
    <xf numFmtId="169" fontId="71" fillId="2" borderId="10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1" fontId="72" fillId="2" borderId="10" xfId="0" applyNumberFormat="1" applyFont="1" applyFill="1" applyBorder="1"/>
    <xf numFmtId="0" fontId="1" fillId="2" borderId="0" xfId="0" applyFont="1" applyFill="1" applyBorder="1"/>
    <xf numFmtId="0" fontId="73" fillId="0" borderId="0" xfId="0" applyFont="1"/>
    <xf numFmtId="0" fontId="0" fillId="2" borderId="0" xfId="0" applyFont="1" applyFill="1"/>
    <xf numFmtId="0" fontId="0" fillId="2" borderId="10" xfId="0" applyFont="1" applyFill="1" applyBorder="1"/>
    <xf numFmtId="0" fontId="28" fillId="2" borderId="10" xfId="8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83" xfId="0" applyBorder="1" applyAlignment="1">
      <alignment vertical="center" wrapText="1"/>
    </xf>
    <xf numFmtId="0" fontId="0" fillId="0" borderId="83" xfId="0" applyBorder="1" applyAlignment="1">
      <alignment vertical="top" wrapText="1"/>
    </xf>
    <xf numFmtId="0" fontId="0" fillId="0" borderId="84" xfId="0" applyBorder="1" applyAlignment="1">
      <alignment vertical="center" wrapText="1"/>
    </xf>
    <xf numFmtId="0" fontId="29" fillId="2" borderId="71" xfId="8" applyNumberFormat="1" applyFont="1" applyFill="1" applyBorder="1" applyAlignment="1" applyProtection="1">
      <alignment horizontal="center" vertical="top"/>
    </xf>
    <xf numFmtId="0" fontId="29" fillId="2" borderId="71" xfId="8" applyFont="1" applyFill="1" applyBorder="1" applyAlignment="1">
      <alignment horizontal="center" wrapText="1"/>
    </xf>
    <xf numFmtId="0" fontId="28" fillId="2" borderId="10" xfId="8" applyFont="1" applyFill="1" applyBorder="1" applyAlignment="1">
      <alignment wrapText="1"/>
    </xf>
    <xf numFmtId="2" fontId="28" fillId="2" borderId="10" xfId="8" applyNumberFormat="1" applyFont="1" applyFill="1" applyBorder="1" applyAlignment="1"/>
    <xf numFmtId="164" fontId="28" fillId="2" borderId="10" xfId="8" applyNumberFormat="1" applyFont="1" applyFill="1" applyBorder="1" applyAlignment="1"/>
    <xf numFmtId="164" fontId="28" fillId="2" borderId="70" xfId="8" applyNumberFormat="1" applyFont="1" applyFill="1" applyBorder="1" applyAlignment="1"/>
    <xf numFmtId="0" fontId="28" fillId="2" borderId="10" xfId="8" applyFont="1" applyFill="1" applyBorder="1" applyAlignment="1">
      <alignment horizontal="justify" vertical="top" wrapText="1"/>
    </xf>
    <xf numFmtId="0" fontId="28" fillId="2" borderId="16" xfId="8" applyFont="1" applyFill="1" applyBorder="1" applyAlignment="1">
      <alignment wrapText="1"/>
    </xf>
    <xf numFmtId="10" fontId="28" fillId="2" borderId="10" xfId="8" applyNumberFormat="1" applyFont="1" applyFill="1" applyBorder="1" applyAlignment="1"/>
    <xf numFmtId="168" fontId="28" fillId="2" borderId="10" xfId="8" applyNumberFormat="1" applyFont="1" applyFill="1" applyBorder="1" applyAlignment="1"/>
    <xf numFmtId="10" fontId="28" fillId="2" borderId="70" xfId="8" applyNumberFormat="1" applyFont="1" applyFill="1" applyBorder="1" applyAlignment="1"/>
    <xf numFmtId="0" fontId="28" fillId="2" borderId="10" xfId="8" applyFont="1" applyFill="1" applyBorder="1" applyAlignment="1">
      <alignment horizontal="left" vertical="justify" wrapText="1"/>
    </xf>
    <xf numFmtId="0" fontId="30" fillId="2" borderId="10" xfId="8" applyFont="1" applyFill="1" applyBorder="1" applyAlignment="1">
      <alignment wrapText="1"/>
    </xf>
    <xf numFmtId="0" fontId="29" fillId="2" borderId="72" xfId="8" applyFont="1" applyFill="1" applyBorder="1" applyAlignment="1">
      <alignment horizontal="center" wrapText="1"/>
    </xf>
    <xf numFmtId="0" fontId="28" fillId="2" borderId="73" xfId="8" applyFont="1" applyFill="1" applyBorder="1" applyAlignment="1">
      <alignment wrapText="1"/>
    </xf>
    <xf numFmtId="164" fontId="28" fillId="2" borderId="73" xfId="8" applyNumberFormat="1" applyFont="1" applyFill="1" applyBorder="1" applyAlignment="1"/>
    <xf numFmtId="164" fontId="28" fillId="2" borderId="74" xfId="8" applyNumberFormat="1" applyFont="1" applyFill="1" applyBorder="1" applyAlignment="1"/>
    <xf numFmtId="0" fontId="28" fillId="2" borderId="0" xfId="8" applyFont="1" applyFill="1" applyBorder="1" applyAlignment="1">
      <alignment wrapText="1"/>
    </xf>
    <xf numFmtId="0" fontId="29" fillId="2" borderId="0" xfId="8" applyFont="1" applyFill="1" applyBorder="1" applyAlignment="1">
      <alignment horizontal="center" wrapText="1"/>
    </xf>
    <xf numFmtId="164" fontId="28" fillId="2" borderId="0" xfId="8" applyNumberFormat="1" applyFont="1" applyFill="1" applyBorder="1" applyAlignment="1"/>
    <xf numFmtId="0" fontId="0" fillId="0" borderId="82" xfId="0" applyBorder="1" applyAlignment="1">
      <alignment vertical="center" wrapText="1"/>
    </xf>
    <xf numFmtId="0" fontId="71" fillId="2" borderId="11" xfId="0" applyFont="1" applyFill="1" applyBorder="1"/>
    <xf numFmtId="0" fontId="0" fillId="0" borderId="8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92" xfId="0" applyBorder="1" applyAlignment="1">
      <alignment vertical="top" wrapText="1"/>
    </xf>
    <xf numFmtId="0" fontId="0" fillId="0" borderId="92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20" fillId="0" borderId="96" xfId="0" applyFont="1" applyBorder="1" applyAlignment="1">
      <alignment vertical="center" wrapText="1"/>
    </xf>
    <xf numFmtId="0" fontId="20" fillId="0" borderId="98" xfId="0" applyFont="1" applyBorder="1" applyAlignment="1">
      <alignment vertical="center" wrapText="1"/>
    </xf>
    <xf numFmtId="0" fontId="75" fillId="0" borderId="0" xfId="0" applyFont="1"/>
    <xf numFmtId="0" fontId="0" fillId="0" borderId="16" xfId="0" applyBorder="1" applyAlignment="1"/>
    <xf numFmtId="0" fontId="18" fillId="0" borderId="10" xfId="0" applyFont="1" applyBorder="1" applyAlignment="1">
      <alignment horizontal="center"/>
    </xf>
    <xf numFmtId="0" fontId="73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0" fontId="14" fillId="2" borderId="10" xfId="0" applyFont="1" applyFill="1" applyBorder="1"/>
    <xf numFmtId="2" fontId="14" fillId="2" borderId="10" xfId="0" applyNumberFormat="1" applyFont="1" applyFill="1" applyBorder="1"/>
    <xf numFmtId="169" fontId="14" fillId="2" borderId="10" xfId="0" applyNumberFormat="1" applyFont="1" applyFill="1" applyBorder="1"/>
    <xf numFmtId="0" fontId="76" fillId="2" borderId="10" xfId="0" applyFont="1" applyFill="1" applyBorder="1"/>
    <xf numFmtId="169" fontId="13" fillId="2" borderId="10" xfId="0" applyNumberFormat="1" applyFont="1" applyFill="1" applyBorder="1"/>
    <xf numFmtId="2" fontId="13" fillId="2" borderId="10" xfId="0" applyNumberFormat="1" applyFont="1" applyFill="1" applyBorder="1"/>
    <xf numFmtId="0" fontId="13" fillId="2" borderId="10" xfId="0" applyFont="1" applyFill="1" applyBorder="1"/>
    <xf numFmtId="0" fontId="77" fillId="2" borderId="0" xfId="0" applyFont="1" applyFill="1"/>
    <xf numFmtId="169" fontId="14" fillId="2" borderId="0" xfId="0" applyNumberFormat="1" applyFont="1" applyFill="1"/>
    <xf numFmtId="0" fontId="13" fillId="2" borderId="18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1" fontId="13" fillId="2" borderId="10" xfId="0" applyNumberFormat="1" applyFont="1" applyFill="1" applyBorder="1"/>
    <xf numFmtId="0" fontId="14" fillId="2" borderId="10" xfId="0" applyFont="1" applyFill="1" applyBorder="1" applyAlignment="1">
      <alignment wrapText="1"/>
    </xf>
    <xf numFmtId="0" fontId="14" fillId="2" borderId="0" xfId="9" applyFont="1" applyFill="1"/>
    <xf numFmtId="0" fontId="9" fillId="2" borderId="0" xfId="0" applyFont="1" applyFill="1" applyAlignment="1">
      <alignment horizontal="center"/>
    </xf>
    <xf numFmtId="0" fontId="13" fillId="2" borderId="10" xfId="9" applyFont="1" applyFill="1" applyBorder="1" applyAlignment="1">
      <alignment horizontal="center" vertical="center" wrapText="1"/>
    </xf>
    <xf numFmtId="0" fontId="14" fillId="2" borderId="10" xfId="9" applyFont="1" applyFill="1" applyBorder="1" applyAlignment="1">
      <alignment wrapText="1"/>
    </xf>
    <xf numFmtId="0" fontId="14" fillId="2" borderId="10" xfId="9" applyFont="1" applyFill="1" applyBorder="1" applyAlignment="1">
      <alignment horizontal="left" wrapText="1"/>
    </xf>
    <xf numFmtId="0" fontId="14" fillId="2" borderId="10" xfId="9" applyFont="1" applyFill="1" applyBorder="1" applyAlignment="1">
      <alignment horizontal="left" vertical="center" wrapText="1"/>
    </xf>
    <xf numFmtId="0" fontId="14" fillId="2" borderId="10" xfId="9" applyFont="1" applyFill="1" applyBorder="1" applyAlignment="1">
      <alignment horizontal="center" vertical="top"/>
    </xf>
    <xf numFmtId="0" fontId="14" fillId="2" borderId="10" xfId="9" applyFont="1" applyFill="1" applyBorder="1" applyAlignment="1">
      <alignment vertical="top" wrapText="1"/>
    </xf>
    <xf numFmtId="0" fontId="13" fillId="2" borderId="10" xfId="9" applyFont="1" applyFill="1" applyBorder="1" applyAlignment="1">
      <alignment wrapText="1"/>
    </xf>
    <xf numFmtId="0" fontId="13" fillId="2" borderId="10" xfId="0" applyFont="1" applyFill="1" applyBorder="1" applyAlignment="1">
      <alignment horizontal="left" vertical="top"/>
    </xf>
    <xf numFmtId="0" fontId="14" fillId="2" borderId="11" xfId="0" applyFont="1" applyFill="1" applyBorder="1"/>
    <xf numFmtId="0" fontId="14" fillId="2" borderId="0" xfId="0" applyFont="1" applyFill="1" applyAlignment="1">
      <alignment horizontal="left" vertical="center" wrapText="1"/>
    </xf>
    <xf numFmtId="0" fontId="78" fillId="2" borderId="0" xfId="0" applyFont="1" applyFill="1"/>
    <xf numFmtId="0" fontId="15" fillId="2" borderId="10" xfId="0" applyFont="1" applyFill="1" applyBorder="1"/>
    <xf numFmtId="0" fontId="0" fillId="0" borderId="0" xfId="0" applyAlignment="1"/>
    <xf numFmtId="169" fontId="6" fillId="2" borderId="31" xfId="0" applyNumberFormat="1" applyFont="1" applyFill="1" applyBorder="1" applyAlignment="1"/>
    <xf numFmtId="169" fontId="6" fillId="2" borderId="16" xfId="0" applyNumberFormat="1" applyFont="1" applyFill="1" applyBorder="1" applyAlignment="1"/>
    <xf numFmtId="169" fontId="6" fillId="0" borderId="16" xfId="0" applyNumberFormat="1" applyFont="1" applyBorder="1" applyAlignment="1"/>
    <xf numFmtId="169" fontId="48" fillId="0" borderId="21" xfId="0" applyNumberFormat="1" applyFont="1" applyBorder="1" applyAlignment="1"/>
    <xf numFmtId="169" fontId="48" fillId="0" borderId="26" xfId="0" applyNumberFormat="1" applyFont="1" applyBorder="1" applyAlignment="1"/>
    <xf numFmtId="169" fontId="6" fillId="0" borderId="63" xfId="0" applyNumberFormat="1" applyFont="1" applyBorder="1" applyAlignment="1"/>
    <xf numFmtId="169" fontId="6" fillId="0" borderId="56" xfId="0" applyNumberFormat="1" applyFont="1" applyBorder="1" applyAlignment="1"/>
    <xf numFmtId="169" fontId="6" fillId="0" borderId="5" xfId="0" applyNumberFormat="1" applyFont="1" applyBorder="1" applyAlignment="1"/>
    <xf numFmtId="169" fontId="6" fillId="0" borderId="31" xfId="0" applyNumberFormat="1" applyFont="1" applyBorder="1" applyAlignment="1"/>
    <xf numFmtId="169" fontId="6" fillId="0" borderId="10" xfId="0" applyNumberFormat="1" applyFont="1" applyBorder="1" applyAlignment="1"/>
    <xf numFmtId="169" fontId="0" fillId="2" borderId="16" xfId="0" applyNumberFormat="1" applyFill="1" applyBorder="1"/>
    <xf numFmtId="0" fontId="7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100" xfId="0" applyFont="1" applyBorder="1" applyAlignment="1">
      <alignment vertical="center" wrapText="1"/>
    </xf>
    <xf numFmtId="0" fontId="12" fillId="0" borderId="101" xfId="0" applyFont="1" applyBorder="1" applyAlignment="1">
      <alignment vertical="center" wrapText="1"/>
    </xf>
    <xf numFmtId="0" fontId="12" fillId="0" borderId="82" xfId="0" applyFont="1" applyBorder="1" applyAlignment="1">
      <alignment vertical="center" wrapText="1"/>
    </xf>
    <xf numFmtId="0" fontId="12" fillId="0" borderId="83" xfId="0" applyFont="1" applyBorder="1" applyAlignment="1">
      <alignment vertical="center" wrapText="1"/>
    </xf>
    <xf numFmtId="0" fontId="12" fillId="0" borderId="103" xfId="0" applyFont="1" applyBorder="1" applyAlignment="1">
      <alignment vertical="center" wrapText="1"/>
    </xf>
    <xf numFmtId="0" fontId="12" fillId="0" borderId="102" xfId="0" applyFont="1" applyBorder="1" applyAlignment="1">
      <alignment vertical="center" wrapText="1"/>
    </xf>
    <xf numFmtId="0" fontId="49" fillId="0" borderId="103" xfId="0" applyFont="1" applyBorder="1" applyAlignment="1">
      <alignment vertical="center" wrapText="1"/>
    </xf>
    <xf numFmtId="0" fontId="12" fillId="0" borderId="88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92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 indent="4"/>
    </xf>
    <xf numFmtId="0" fontId="27" fillId="0" borderId="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7" fillId="2" borderId="1" xfId="0" applyFont="1" applyFill="1" applyBorder="1" applyAlignment="1"/>
    <xf numFmtId="0" fontId="18" fillId="2" borderId="10" xfId="0" applyFont="1" applyFill="1" applyBorder="1" applyAlignment="1">
      <alignment horizontal="center"/>
    </xf>
    <xf numFmtId="169" fontId="15" fillId="2" borderId="10" xfId="0" applyNumberFormat="1" applyFont="1" applyFill="1" applyBorder="1" applyAlignment="1">
      <alignment horizontal="right" wrapText="1"/>
    </xf>
    <xf numFmtId="2" fontId="0" fillId="2" borderId="10" xfId="0" applyNumberFormat="1" applyFill="1" applyBorder="1"/>
    <xf numFmtId="1" fontId="29" fillId="2" borderId="43" xfId="0" applyNumberFormat="1" applyFont="1" applyFill="1" applyBorder="1" applyAlignment="1">
      <alignment vertical="top" wrapText="1"/>
    </xf>
    <xf numFmtId="0" fontId="18" fillId="0" borderId="10" xfId="0" applyFont="1" applyBorder="1"/>
    <xf numFmtId="169" fontId="51" fillId="0" borderId="10" xfId="0" applyNumberFormat="1" applyFont="1" applyBorder="1"/>
    <xf numFmtId="0" fontId="25" fillId="2" borderId="0" xfId="0" applyFont="1" applyFill="1"/>
    <xf numFmtId="0" fontId="83" fillId="2" borderId="0" xfId="0" applyFont="1" applyFill="1"/>
    <xf numFmtId="1" fontId="82" fillId="2" borderId="0" xfId="0" applyNumberFormat="1" applyFont="1" applyFill="1"/>
    <xf numFmtId="0" fontId="18" fillId="0" borderId="37" xfId="0" applyFont="1" applyFill="1" applyBorder="1"/>
    <xf numFmtId="0" fontId="0" fillId="2" borderId="1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20" fillId="2" borderId="10" xfId="0" applyNumberFormat="1" applyFont="1" applyFill="1" applyBorder="1"/>
    <xf numFmtId="1" fontId="38" fillId="0" borderId="10" xfId="0" applyNumberFormat="1" applyFont="1" applyBorder="1" applyAlignment="1">
      <alignment horizontal="center" vertical="center"/>
    </xf>
    <xf numFmtId="0" fontId="75" fillId="0" borderId="0" xfId="0" applyFont="1" applyAlignment="1"/>
    <xf numFmtId="49" fontId="0" fillId="2" borderId="10" xfId="0" applyNumberFormat="1" applyFill="1" applyBorder="1" applyAlignment="1">
      <alignment horizontal="right"/>
    </xf>
    <xf numFmtId="49" fontId="0" fillId="2" borderId="10" xfId="0" applyNumberFormat="1" applyFill="1" applyBorder="1"/>
    <xf numFmtId="49" fontId="0" fillId="2" borderId="0" xfId="0" applyNumberFormat="1" applyFill="1" applyBorder="1"/>
    <xf numFmtId="49" fontId="20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/>
    <xf numFmtId="49" fontId="0" fillId="2" borderId="10" xfId="0" applyNumberFormat="1" applyFont="1" applyFill="1" applyBorder="1" applyAlignment="1">
      <alignment horizontal="right"/>
    </xf>
    <xf numFmtId="49" fontId="20" fillId="2" borderId="10" xfId="0" applyNumberFormat="1" applyFont="1" applyFill="1" applyBorder="1" applyAlignment="1">
      <alignment horizontal="center" vertical="top"/>
    </xf>
    <xf numFmtId="49" fontId="20" fillId="2" borderId="1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wrapText="1"/>
    </xf>
    <xf numFmtId="0" fontId="57" fillId="2" borderId="10" xfId="0" applyFont="1" applyFill="1" applyBorder="1" applyAlignment="1">
      <alignment wrapText="1"/>
    </xf>
    <xf numFmtId="0" fontId="84" fillId="2" borderId="10" xfId="0" applyFont="1" applyFill="1" applyBorder="1" applyAlignment="1">
      <alignment wrapText="1"/>
    </xf>
    <xf numFmtId="0" fontId="73" fillId="2" borderId="10" xfId="0" applyFont="1" applyFill="1" applyBorder="1" applyAlignment="1">
      <alignment wrapText="1"/>
    </xf>
    <xf numFmtId="0" fontId="87" fillId="0" borderId="0" xfId="0" applyFont="1" applyProtection="1"/>
    <xf numFmtId="0" fontId="88" fillId="0" borderId="0" xfId="0" applyFont="1" applyProtection="1"/>
    <xf numFmtId="0" fontId="89" fillId="0" borderId="0" xfId="11" applyFont="1" applyBorder="1" applyAlignment="1" applyProtection="1">
      <alignment vertical="center"/>
    </xf>
    <xf numFmtId="49" fontId="89" fillId="0" borderId="0" xfId="12" applyFont="1" applyBorder="1" applyAlignment="1" applyProtection="1">
      <alignment horizontal="right" vertical="center"/>
    </xf>
    <xf numFmtId="0" fontId="12" fillId="0" borderId="0" xfId="0" applyFont="1" applyProtection="1"/>
    <xf numFmtId="0" fontId="89" fillId="0" borderId="10" xfId="13" applyFont="1" applyBorder="1" applyAlignment="1" applyProtection="1">
      <alignment horizontal="center" vertical="center" wrapText="1"/>
    </xf>
    <xf numFmtId="0" fontId="89" fillId="0" borderId="10" xfId="11" applyFont="1" applyBorder="1" applyAlignment="1" applyProtection="1">
      <alignment horizontal="center" vertical="center" wrapText="1"/>
    </xf>
    <xf numFmtId="49" fontId="89" fillId="0" borderId="10" xfId="12" applyFont="1" applyBorder="1" applyAlignment="1" applyProtection="1">
      <alignment vertical="center" wrapText="1"/>
    </xf>
    <xf numFmtId="49" fontId="89" fillId="0" borderId="10" xfId="12" applyFont="1" applyBorder="1" applyAlignment="1" applyProtection="1">
      <alignment horizontal="center" vertical="center" wrapText="1"/>
    </xf>
    <xf numFmtId="4" fontId="89" fillId="10" borderId="10" xfId="12" applyNumberFormat="1" applyFont="1" applyFill="1" applyBorder="1" applyAlignment="1" applyProtection="1">
      <alignment horizontal="right" vertical="center"/>
    </xf>
    <xf numFmtId="4" fontId="89" fillId="8" borderId="10" xfId="12" applyNumberFormat="1" applyFont="1" applyFill="1" applyBorder="1" applyAlignment="1" applyProtection="1">
      <alignment horizontal="right" vertical="center"/>
      <protection locked="0"/>
    </xf>
    <xf numFmtId="4" fontId="89" fillId="11" borderId="10" xfId="12" applyNumberFormat="1" applyFont="1" applyFill="1" applyBorder="1" applyAlignment="1" applyProtection="1">
      <alignment horizontal="right" vertical="center"/>
      <protection locked="0"/>
    </xf>
    <xf numFmtId="4" fontId="89" fillId="12" borderId="10" xfId="12" applyNumberFormat="1" applyFont="1" applyFill="1" applyBorder="1" applyAlignment="1" applyProtection="1">
      <alignment horizontal="right" vertical="center"/>
    </xf>
    <xf numFmtId="49" fontId="89" fillId="0" borderId="0" xfId="12" applyFont="1" applyBorder="1" applyAlignment="1" applyProtection="1">
      <alignment vertical="center" wrapText="1"/>
    </xf>
    <xf numFmtId="49" fontId="89" fillId="0" borderId="0" xfId="12" applyFont="1" applyBorder="1" applyAlignment="1" applyProtection="1">
      <alignment horizontal="center" vertical="center" wrapText="1"/>
    </xf>
    <xf numFmtId="4" fontId="89" fillId="0" borderId="0" xfId="12" applyNumberFormat="1" applyFont="1" applyFill="1" applyBorder="1" applyAlignment="1" applyProtection="1">
      <alignment horizontal="right" vertical="center"/>
    </xf>
    <xf numFmtId="0" fontId="90" fillId="0" borderId="0" xfId="0" applyFont="1" applyProtection="1"/>
    <xf numFmtId="4" fontId="12" fillId="0" borderId="0" xfId="0" applyNumberFormat="1" applyFont="1" applyProtection="1"/>
    <xf numFmtId="0" fontId="14" fillId="2" borderId="1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0" xfId="9" applyFont="1" applyFill="1" applyAlignment="1">
      <alignment horizontal="center" vertical="center" wrapText="1"/>
    </xf>
    <xf numFmtId="0" fontId="18" fillId="2" borderId="10" xfId="0" applyFont="1" applyFill="1" applyBorder="1" applyAlignment="1">
      <alignment wrapText="1"/>
    </xf>
    <xf numFmtId="167" fontId="89" fillId="10" borderId="10" xfId="12" applyNumberFormat="1" applyFont="1" applyFill="1" applyBorder="1" applyAlignment="1" applyProtection="1">
      <alignment horizontal="right" vertical="center"/>
    </xf>
    <xf numFmtId="0" fontId="14" fillId="2" borderId="1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0" xfId="9" applyFont="1" applyFill="1" applyAlignment="1">
      <alignment horizontal="center" vertical="center" wrapText="1"/>
    </xf>
    <xf numFmtId="164" fontId="0" fillId="2" borderId="0" xfId="0" applyNumberFormat="1" applyFill="1"/>
    <xf numFmtId="0" fontId="0" fillId="10" borderId="0" xfId="0" applyFill="1"/>
    <xf numFmtId="0" fontId="20" fillId="10" borderId="0" xfId="0" applyFont="1" applyFill="1"/>
    <xf numFmtId="4" fontId="0" fillId="0" borderId="0" xfId="0" applyNumberFormat="1"/>
    <xf numFmtId="0" fontId="18" fillId="10" borderId="0" xfId="0" applyFont="1" applyFill="1"/>
    <xf numFmtId="0" fontId="51" fillId="10" borderId="0" xfId="0" applyFont="1" applyFill="1"/>
    <xf numFmtId="166" fontId="70" fillId="5" borderId="15" xfId="5" applyNumberFormat="1" applyFont="1" applyBorder="1">
      <alignment horizontal="right"/>
    </xf>
    <xf numFmtId="169" fontId="7" fillId="2" borderId="10" xfId="0" applyNumberFormat="1" applyFont="1" applyFill="1" applyBorder="1"/>
    <xf numFmtId="0" fontId="32" fillId="10" borderId="0" xfId="0" applyFont="1" applyFill="1" applyAlignment="1">
      <alignment horizontal="center"/>
    </xf>
    <xf numFmtId="0" fontId="7" fillId="10" borderId="0" xfId="0" applyFont="1" applyFill="1"/>
    <xf numFmtId="2" fontId="14" fillId="10" borderId="10" xfId="0" applyNumberFormat="1" applyFont="1" applyFill="1" applyBorder="1"/>
    <xf numFmtId="0" fontId="0" fillId="2" borderId="10" xfId="14" applyNumberFormat="1" applyFont="1" applyFill="1" applyBorder="1" applyAlignment="1">
      <alignment horizontal="right"/>
    </xf>
    <xf numFmtId="0" fontId="14" fillId="2" borderId="12" xfId="0" applyFont="1" applyFill="1" applyBorder="1"/>
    <xf numFmtId="0" fontId="14" fillId="10" borderId="10" xfId="0" applyFont="1" applyFill="1" applyBorder="1"/>
    <xf numFmtId="0" fontId="0" fillId="0" borderId="0" xfId="0" applyBorder="1" applyAlignment="1">
      <alignment horizontal="center"/>
    </xf>
    <xf numFmtId="0" fontId="47" fillId="2" borderId="26" xfId="0" applyFont="1" applyFill="1" applyBorder="1" applyAlignment="1">
      <alignment horizontal="center"/>
    </xf>
    <xf numFmtId="0" fontId="50" fillId="0" borderId="63" xfId="0" applyFont="1" applyBorder="1" applyAlignment="1">
      <alignment horizontal="right"/>
    </xf>
    <xf numFmtId="0" fontId="50" fillId="0" borderId="56" xfId="0" applyFont="1" applyBorder="1" applyAlignment="1">
      <alignment wrapText="1"/>
    </xf>
    <xf numFmtId="1" fontId="50" fillId="0" borderId="20" xfId="0" applyNumberFormat="1" applyFont="1" applyBorder="1"/>
    <xf numFmtId="0" fontId="50" fillId="0" borderId="50" xfId="0" applyFont="1" applyBorder="1" applyAlignment="1">
      <alignment horizontal="right"/>
    </xf>
    <xf numFmtId="0" fontId="50" fillId="0" borderId="104" xfId="0" applyFont="1" applyBorder="1" applyAlignment="1">
      <alignment wrapText="1"/>
    </xf>
    <xf numFmtId="1" fontId="0" fillId="0" borderId="105" xfId="0" applyNumberFormat="1" applyBorder="1"/>
    <xf numFmtId="1" fontId="50" fillId="0" borderId="68" xfId="0" applyNumberFormat="1" applyFont="1" applyBorder="1"/>
    <xf numFmtId="0" fontId="50" fillId="0" borderId="45" xfId="0" applyFont="1" applyBorder="1" applyAlignment="1">
      <alignment horizontal="right"/>
    </xf>
    <xf numFmtId="0" fontId="50" fillId="0" borderId="23" xfId="0" applyFont="1" applyBorder="1" applyAlignment="1">
      <alignment wrapText="1"/>
    </xf>
    <xf numFmtId="0" fontId="13" fillId="2" borderId="0" xfId="9" applyFont="1" applyFill="1" applyAlignment="1">
      <alignment horizontal="center" vertical="center" wrapText="1"/>
    </xf>
    <xf numFmtId="2" fontId="13" fillId="0" borderId="10" xfId="0" applyNumberFormat="1" applyFont="1" applyBorder="1"/>
    <xf numFmtId="0" fontId="0" fillId="2" borderId="10" xfId="0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2" fontId="11" fillId="2" borderId="10" xfId="0" applyNumberFormat="1" applyFont="1" applyFill="1" applyBorder="1"/>
    <xf numFmtId="0" fontId="11" fillId="2" borderId="10" xfId="0" applyFont="1" applyFill="1" applyBorder="1"/>
    <xf numFmtId="0" fontId="11" fillId="0" borderId="0" xfId="0" applyFont="1" applyBorder="1"/>
    <xf numFmtId="0" fontId="11" fillId="2" borderId="0" xfId="0" applyFont="1" applyFill="1" applyBorder="1"/>
    <xf numFmtId="0" fontId="17" fillId="0" borderId="0" xfId="0" applyFont="1" applyBorder="1"/>
    <xf numFmtId="0" fontId="11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4" fontId="11" fillId="0" borderId="0" xfId="0" applyNumberFormat="1" applyFont="1" applyBorder="1"/>
    <xf numFmtId="2" fontId="11" fillId="0" borderId="0" xfId="0" applyNumberFormat="1" applyFont="1" applyBorder="1"/>
    <xf numFmtId="0" fontId="18" fillId="2" borderId="10" xfId="0" applyFont="1" applyFill="1" applyBorder="1"/>
    <xf numFmtId="0" fontId="11" fillId="0" borderId="10" xfId="0" applyFont="1" applyBorder="1"/>
    <xf numFmtId="164" fontId="11" fillId="0" borderId="10" xfId="0" applyNumberFormat="1" applyFont="1" applyBorder="1"/>
    <xf numFmtId="2" fontId="11" fillId="0" borderId="10" xfId="0" applyNumberFormat="1" applyFont="1" applyBorder="1"/>
    <xf numFmtId="0" fontId="18" fillId="2" borderId="10" xfId="0" applyFont="1" applyFill="1" applyBorder="1" applyAlignment="1"/>
    <xf numFmtId="1" fontId="18" fillId="2" borderId="10" xfId="0" applyNumberFormat="1" applyFont="1" applyFill="1" applyBorder="1"/>
    <xf numFmtId="164" fontId="11" fillId="2" borderId="10" xfId="0" applyNumberFormat="1" applyFont="1" applyFill="1" applyBorder="1"/>
    <xf numFmtId="164" fontId="17" fillId="0" borderId="10" xfId="0" applyNumberFormat="1" applyFont="1" applyBorder="1"/>
    <xf numFmtId="2" fontId="17" fillId="0" borderId="10" xfId="0" applyNumberFormat="1" applyFont="1" applyBorder="1"/>
    <xf numFmtId="1" fontId="17" fillId="0" borderId="10" xfId="0" applyNumberFormat="1" applyFont="1" applyBorder="1"/>
    <xf numFmtId="0" fontId="51" fillId="0" borderId="10" xfId="0" applyFont="1" applyBorder="1"/>
    <xf numFmtId="1" fontId="51" fillId="0" borderId="10" xfId="0" applyNumberFormat="1" applyFont="1" applyBorder="1"/>
    <xf numFmtId="164" fontId="17" fillId="0" borderId="0" xfId="0" applyNumberFormat="1" applyFont="1" applyBorder="1"/>
    <xf numFmtId="2" fontId="17" fillId="0" borderId="0" xfId="0" applyNumberFormat="1" applyFont="1" applyBorder="1"/>
    <xf numFmtId="0" fontId="11" fillId="0" borderId="0" xfId="0" applyFont="1" applyBorder="1" applyAlignment="1"/>
    <xf numFmtId="164" fontId="11" fillId="0" borderId="0" xfId="0" applyNumberFormat="1" applyFont="1" applyBorder="1" applyAlignment="1">
      <alignment horizontal="center"/>
    </xf>
    <xf numFmtId="0" fontId="11" fillId="2" borderId="11" xfId="0" applyFont="1" applyFill="1" applyBorder="1"/>
    <xf numFmtId="0" fontId="17" fillId="0" borderId="31" xfId="0" applyFont="1" applyBorder="1"/>
    <xf numFmtId="0" fontId="18" fillId="2" borderId="0" xfId="0" applyFont="1" applyFill="1"/>
    <xf numFmtId="2" fontId="0" fillId="2" borderId="11" xfId="0" applyNumberFormat="1" applyFill="1" applyBorder="1"/>
    <xf numFmtId="0" fontId="0" fillId="13" borderId="10" xfId="0" applyFill="1" applyBorder="1"/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2" fontId="13" fillId="2" borderId="0" xfId="0" applyNumberFormat="1" applyFont="1" applyFill="1" applyBorder="1"/>
    <xf numFmtId="0" fontId="13" fillId="2" borderId="0" xfId="0" applyFont="1" applyFill="1" applyBorder="1"/>
    <xf numFmtId="2" fontId="14" fillId="13" borderId="10" xfId="0" applyNumberFormat="1" applyFont="1" applyFill="1" applyBorder="1"/>
    <xf numFmtId="0" fontId="0" fillId="0" borderId="11" xfId="0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9" fillId="2" borderId="18" xfId="0" applyFont="1" applyFill="1" applyBorder="1" applyAlignment="1"/>
    <xf numFmtId="0" fontId="2" fillId="0" borderId="2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9" fontId="9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0" fillId="13" borderId="0" xfId="0" applyNumberFormat="1" applyFill="1" applyAlignment="1">
      <alignment horizontal="center" vertical="center" wrapText="1"/>
    </xf>
    <xf numFmtId="0" fontId="61" fillId="2" borderId="0" xfId="0" applyFont="1" applyFill="1" applyAlignment="1"/>
    <xf numFmtId="0" fontId="62" fillId="2" borderId="0" xfId="0" applyFont="1" applyFill="1"/>
    <xf numFmtId="49" fontId="63" fillId="2" borderId="0" xfId="0" applyNumberFormat="1" applyFont="1" applyFill="1" applyAlignment="1">
      <alignment wrapText="1"/>
    </xf>
    <xf numFmtId="0" fontId="62" fillId="2" borderId="1" xfId="0" applyFont="1" applyFill="1" applyBorder="1"/>
    <xf numFmtId="49" fontId="64" fillId="2" borderId="11" xfId="0" applyNumberFormat="1" applyFont="1" applyFill="1" applyBorder="1" applyAlignment="1">
      <alignment horizontal="center" vertical="center" wrapText="1"/>
    </xf>
    <xf numFmtId="0" fontId="64" fillId="2" borderId="11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wrapText="1"/>
    </xf>
    <xf numFmtId="0" fontId="62" fillId="2" borderId="10" xfId="0" applyFont="1" applyFill="1" applyBorder="1"/>
    <xf numFmtId="170" fontId="62" fillId="2" borderId="10" xfId="0" applyNumberFormat="1" applyFont="1" applyFill="1" applyBorder="1"/>
    <xf numFmtId="0" fontId="66" fillId="2" borderId="10" xfId="0" applyFont="1" applyFill="1" applyBorder="1"/>
    <xf numFmtId="170" fontId="66" fillId="2" borderId="10" xfId="0" applyNumberFormat="1" applyFont="1" applyFill="1" applyBorder="1"/>
    <xf numFmtId="170" fontId="67" fillId="2" borderId="10" xfId="0" applyNumberFormat="1" applyFont="1" applyFill="1" applyBorder="1"/>
    <xf numFmtId="0" fontId="62" fillId="2" borderId="10" xfId="0" applyFont="1" applyFill="1" applyBorder="1" applyAlignment="1">
      <alignment horizontal="center"/>
    </xf>
    <xf numFmtId="0" fontId="62" fillId="2" borderId="10" xfId="0" applyFont="1" applyFill="1" applyBorder="1" applyAlignment="1">
      <alignment horizontal="center" vertical="center"/>
    </xf>
    <xf numFmtId="2" fontId="66" fillId="2" borderId="10" xfId="0" applyNumberFormat="1" applyFont="1" applyFill="1" applyBorder="1"/>
    <xf numFmtId="0" fontId="67" fillId="2" borderId="10" xfId="0" applyFont="1" applyFill="1" applyBorder="1"/>
    <xf numFmtId="2" fontId="67" fillId="2" borderId="10" xfId="0" applyNumberFormat="1" applyFont="1" applyFill="1" applyBorder="1"/>
    <xf numFmtId="169" fontId="66" fillId="2" borderId="10" xfId="0" applyNumberFormat="1" applyFont="1" applyFill="1" applyBorder="1"/>
    <xf numFmtId="0" fontId="62" fillId="2" borderId="81" xfId="0" applyFont="1" applyFill="1" applyBorder="1"/>
    <xf numFmtId="0" fontId="62" fillId="2" borderId="7" xfId="0" applyFont="1" applyFill="1" applyBorder="1"/>
    <xf numFmtId="0" fontId="62" fillId="2" borderId="80" xfId="0" applyFont="1" applyFill="1" applyBorder="1"/>
    <xf numFmtId="49" fontId="64" fillId="2" borderId="11" xfId="0" applyNumberFormat="1" applyFont="1" applyFill="1" applyBorder="1"/>
    <xf numFmtId="0" fontId="62" fillId="2" borderId="11" xfId="0" applyFont="1" applyFill="1" applyBorder="1"/>
    <xf numFmtId="0" fontId="62" fillId="2" borderId="37" xfId="0" applyFont="1" applyFill="1" applyBorder="1"/>
    <xf numFmtId="0" fontId="62" fillId="2" borderId="55" xfId="0" applyFont="1" applyFill="1" applyBorder="1"/>
    <xf numFmtId="169" fontId="73" fillId="2" borderId="0" xfId="0" applyNumberFormat="1" applyFont="1" applyFill="1" applyBorder="1" applyAlignment="1">
      <alignment horizontal="center"/>
    </xf>
    <xf numFmtId="0" fontId="81" fillId="2" borderId="0" xfId="0" applyFont="1" applyFill="1"/>
    <xf numFmtId="0" fontId="67" fillId="2" borderId="0" xfId="0" applyFont="1" applyFill="1" applyBorder="1" applyAlignment="1">
      <alignment horizontal="center" wrapText="1"/>
    </xf>
    <xf numFmtId="169" fontId="67" fillId="2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6" fillId="2" borderId="4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59" fillId="2" borderId="10" xfId="0" applyFont="1" applyFill="1" applyBorder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59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vertical="center"/>
    </xf>
    <xf numFmtId="0" fontId="1" fillId="2" borderId="30" xfId="0" applyFont="1" applyFill="1" applyBorder="1" applyAlignment="1">
      <alignment horizontal="right"/>
    </xf>
    <xf numFmtId="49" fontId="92" fillId="2" borderId="10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6" fillId="2" borderId="36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0" fontId="1" fillId="0" borderId="13" xfId="0" applyFont="1" applyBorder="1"/>
    <xf numFmtId="2" fontId="0" fillId="0" borderId="0" xfId="0" applyNumberFormat="1"/>
    <xf numFmtId="1" fontId="9" fillId="3" borderId="10" xfId="0" applyNumberFormat="1" applyFont="1" applyFill="1" applyBorder="1" applyAlignment="1">
      <alignment horizontal="center" vertical="center" wrapText="1"/>
    </xf>
    <xf numFmtId="1" fontId="9" fillId="3" borderId="23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1" fontId="8" fillId="3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/>
    </xf>
    <xf numFmtId="169" fontId="0" fillId="0" borderId="10" xfId="0" applyNumberFormat="1" applyBorder="1"/>
    <xf numFmtId="0" fontId="14" fillId="14" borderId="10" xfId="0" applyFont="1" applyFill="1" applyBorder="1"/>
    <xf numFmtId="2" fontId="14" fillId="14" borderId="10" xfId="0" applyNumberFormat="1" applyFont="1" applyFill="1" applyBorder="1"/>
    <xf numFmtId="0" fontId="0" fillId="14" borderId="10" xfId="0" applyFill="1" applyBorder="1"/>
    <xf numFmtId="0" fontId="0" fillId="0" borderId="10" xfId="0" applyBorder="1" applyAlignment="1">
      <alignment horizontal="left"/>
    </xf>
    <xf numFmtId="0" fontId="0" fillId="0" borderId="0" xfId="0" applyFill="1" applyBorder="1" applyAlignment="1"/>
    <xf numFmtId="0" fontId="12" fillId="0" borderId="103" xfId="0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13" borderId="10" xfId="0" applyFont="1" applyFill="1" applyBorder="1" applyAlignment="1">
      <alignment horizontal="right" vertical="center" wrapText="1"/>
    </xf>
    <xf numFmtId="0" fontId="0" fillId="2" borderId="39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6" fillId="2" borderId="10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9" fillId="2" borderId="53" xfId="0" applyFont="1" applyFill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69" fontId="9" fillId="3" borderId="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1" fontId="6" fillId="2" borderId="55" xfId="0" applyNumberFormat="1" applyFont="1" applyFill="1" applyBorder="1"/>
    <xf numFmtId="0" fontId="8" fillId="2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right"/>
    </xf>
    <xf numFmtId="0" fontId="8" fillId="2" borderId="29" xfId="0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9" xfId="0" applyFont="1" applyFill="1" applyBorder="1" applyAlignment="1">
      <alignment horizontal="right"/>
    </xf>
    <xf numFmtId="1" fontId="8" fillId="2" borderId="29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8" fillId="2" borderId="30" xfId="0" applyFont="1" applyFill="1" applyBorder="1" applyAlignment="1">
      <alignment horizontal="center"/>
    </xf>
    <xf numFmtId="1" fontId="8" fillId="2" borderId="32" xfId="0" applyNumberFormat="1" applyFont="1" applyFill="1" applyBorder="1" applyAlignment="1">
      <alignment horizontal="right"/>
    </xf>
    <xf numFmtId="0" fontId="6" fillId="2" borderId="42" xfId="0" applyFont="1" applyFill="1" applyBorder="1"/>
    <xf numFmtId="0" fontId="6" fillId="2" borderId="1" xfId="0" applyFont="1" applyFill="1" applyBorder="1"/>
    <xf numFmtId="0" fontId="6" fillId="2" borderId="43" xfId="0" applyFont="1" applyFill="1" applyBorder="1"/>
    <xf numFmtId="0" fontId="48" fillId="2" borderId="4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3" xfId="0" applyFont="1" applyFill="1" applyBorder="1" applyAlignment="1">
      <alignment horizontal="right"/>
    </xf>
    <xf numFmtId="0" fontId="9" fillId="2" borderId="6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 wrapText="1"/>
    </xf>
    <xf numFmtId="1" fontId="6" fillId="2" borderId="4" xfId="0" applyNumberFormat="1" applyFont="1" applyFill="1" applyBorder="1"/>
    <xf numFmtId="1" fontId="6" fillId="2" borderId="6" xfId="0" applyNumberFormat="1" applyFont="1" applyFill="1" applyBorder="1"/>
    <xf numFmtId="0" fontId="48" fillId="2" borderId="7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wrapText="1"/>
    </xf>
    <xf numFmtId="0" fontId="47" fillId="13" borderId="43" xfId="0" applyFont="1" applyFill="1" applyBorder="1" applyAlignment="1">
      <alignment vertical="top" wrapText="1"/>
    </xf>
    <xf numFmtId="0" fontId="6" fillId="2" borderId="28" xfId="0" applyFont="1" applyFill="1" applyBorder="1" applyAlignment="1">
      <alignment horizontal="right"/>
    </xf>
    <xf numFmtId="0" fontId="9" fillId="2" borderId="65" xfId="0" applyFont="1" applyFill="1" applyBorder="1" applyAlignment="1">
      <alignment horizontal="center" wrapText="1"/>
    </xf>
    <xf numFmtId="0" fontId="9" fillId="2" borderId="67" xfId="0" applyFont="1" applyFill="1" applyBorder="1" applyAlignment="1">
      <alignment horizontal="center"/>
    </xf>
    <xf numFmtId="0" fontId="6" fillId="2" borderId="65" xfId="0" applyFont="1" applyFill="1" applyBorder="1" applyAlignment="1">
      <alignment horizontal="right" wrapText="1"/>
    </xf>
    <xf numFmtId="0" fontId="6" fillId="2" borderId="65" xfId="0" applyFont="1" applyFill="1" applyBorder="1"/>
    <xf numFmtId="1" fontId="6" fillId="2" borderId="65" xfId="0" applyNumberFormat="1" applyFont="1" applyFill="1" applyBorder="1"/>
    <xf numFmtId="1" fontId="6" fillId="2" borderId="109" xfId="0" applyNumberFormat="1" applyFont="1" applyFill="1" applyBorder="1"/>
    <xf numFmtId="0" fontId="48" fillId="2" borderId="6" xfId="0" applyFont="1" applyFill="1" applyBorder="1" applyAlignment="1">
      <alignment horizontal="right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2" borderId="10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vertical="top" wrapText="1"/>
    </xf>
    <xf numFmtId="0" fontId="39" fillId="2" borderId="62" xfId="9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top" wrapText="1"/>
    </xf>
    <xf numFmtId="0" fontId="39" fillId="0" borderId="23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/>
    </xf>
    <xf numFmtId="0" fontId="94" fillId="2" borderId="23" xfId="0" applyFont="1" applyFill="1" applyBorder="1" applyAlignment="1">
      <alignment horizontal="center" vertical="center"/>
    </xf>
    <xf numFmtId="0" fontId="94" fillId="2" borderId="23" xfId="0" applyFont="1" applyFill="1" applyBorder="1" applyAlignment="1">
      <alignment horizontal="center" vertical="center" wrapText="1"/>
    </xf>
    <xf numFmtId="0" fontId="94" fillId="2" borderId="11" xfId="0" applyFont="1" applyFill="1" applyBorder="1" applyAlignment="1">
      <alignment horizontal="center"/>
    </xf>
    <xf numFmtId="0" fontId="94" fillId="2" borderId="10" xfId="0" applyFont="1" applyFill="1" applyBorder="1" applyAlignment="1"/>
    <xf numFmtId="0" fontId="94" fillId="2" borderId="10" xfId="0" applyFont="1" applyFill="1" applyBorder="1" applyAlignment="1">
      <alignment horizontal="center"/>
    </xf>
    <xf numFmtId="0" fontId="94" fillId="2" borderId="10" xfId="0" applyFont="1" applyFill="1" applyBorder="1"/>
    <xf numFmtId="0" fontId="94" fillId="2" borderId="10" xfId="0" applyFont="1" applyFill="1" applyBorder="1" applyAlignment="1">
      <alignment wrapText="1"/>
    </xf>
    <xf numFmtId="0" fontId="95" fillId="2" borderId="10" xfId="0" applyFont="1" applyFill="1" applyBorder="1" applyAlignment="1">
      <alignment horizontal="center"/>
    </xf>
    <xf numFmtId="1" fontId="95" fillId="2" borderId="10" xfId="0" applyNumberFormat="1" applyFont="1" applyFill="1" applyBorder="1" applyAlignment="1">
      <alignment horizontal="center"/>
    </xf>
    <xf numFmtId="169" fontId="94" fillId="2" borderId="10" xfId="0" applyNumberFormat="1" applyFont="1" applyFill="1" applyBorder="1"/>
    <xf numFmtId="0" fontId="94" fillId="2" borderId="10" xfId="0" applyFont="1" applyFill="1" applyBorder="1" applyAlignment="1">
      <alignment horizontal="center"/>
    </xf>
    <xf numFmtId="169" fontId="94" fillId="2" borderId="10" xfId="0" applyNumberFormat="1" applyFont="1" applyFill="1" applyBorder="1" applyAlignment="1">
      <alignment horizontal="center"/>
    </xf>
    <xf numFmtId="14" fontId="94" fillId="2" borderId="10" xfId="0" applyNumberFormat="1" applyFont="1" applyFill="1" applyBorder="1" applyAlignment="1"/>
    <xf numFmtId="169" fontId="93" fillId="2" borderId="10" xfId="0" applyNumberFormat="1" applyFont="1" applyFill="1" applyBorder="1" applyAlignment="1">
      <alignment horizontal="center"/>
    </xf>
    <xf numFmtId="169" fontId="95" fillId="2" borderId="10" xfId="0" applyNumberFormat="1" applyFont="1" applyFill="1" applyBorder="1" applyAlignment="1">
      <alignment horizontal="center"/>
    </xf>
    <xf numFmtId="16" fontId="94" fillId="2" borderId="10" xfId="0" applyNumberFormat="1" applyFont="1" applyFill="1" applyBorder="1" applyAlignment="1"/>
    <xf numFmtId="0" fontId="93" fillId="2" borderId="10" xfId="0" applyFont="1" applyFill="1" applyBorder="1" applyAlignment="1"/>
    <xf numFmtId="2" fontId="93" fillId="2" borderId="10" xfId="0" applyNumberFormat="1" applyFont="1" applyFill="1" applyBorder="1" applyAlignment="1">
      <alignment horizontal="center"/>
    </xf>
    <xf numFmtId="1" fontId="93" fillId="2" borderId="10" xfId="0" applyNumberFormat="1" applyFont="1" applyFill="1" applyBorder="1" applyAlignment="1">
      <alignment horizontal="center"/>
    </xf>
    <xf numFmtId="0" fontId="94" fillId="2" borderId="37" xfId="0" applyFont="1" applyFill="1" applyBorder="1"/>
    <xf numFmtId="0" fontId="94" fillId="2" borderId="37" xfId="0" applyFont="1" applyFill="1" applyBorder="1" applyAlignment="1"/>
    <xf numFmtId="0" fontId="18" fillId="2" borderId="11" xfId="0" applyFont="1" applyFill="1" applyBorder="1"/>
    <xf numFmtId="0" fontId="94" fillId="2" borderId="11" xfId="0" applyFont="1" applyFill="1" applyBorder="1"/>
    <xf numFmtId="0" fontId="51" fillId="2" borderId="0" xfId="0" applyFont="1" applyFill="1"/>
    <xf numFmtId="0" fontId="18" fillId="2" borderId="0" xfId="0" applyFont="1" applyFill="1" applyAlignment="1">
      <alignment horizontal="center" wrapText="1"/>
    </xf>
    <xf numFmtId="0" fontId="94" fillId="13" borderId="10" xfId="0" applyFont="1" applyFill="1" applyBorder="1" applyAlignment="1">
      <alignment horizontal="center"/>
    </xf>
    <xf numFmtId="169" fontId="94" fillId="13" borderId="10" xfId="0" applyNumberFormat="1" applyFont="1" applyFill="1" applyBorder="1" applyAlignment="1">
      <alignment horizontal="center"/>
    </xf>
    <xf numFmtId="169" fontId="9" fillId="2" borderId="0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1" fontId="8" fillId="3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11" xfId="0" applyFont="1" applyFill="1" applyBorder="1" applyAlignment="1">
      <alignment horizontal="center"/>
    </xf>
    <xf numFmtId="0" fontId="0" fillId="0" borderId="0" xfId="0" applyFont="1" applyBorder="1"/>
    <xf numFmtId="0" fontId="96" fillId="2" borderId="10" xfId="0" applyFont="1" applyFill="1" applyBorder="1" applyAlignment="1"/>
    <xf numFmtId="0" fontId="97" fillId="2" borderId="10" xfId="0" applyFont="1" applyFill="1" applyBorder="1" applyAlignment="1">
      <alignment horizontal="center" vertical="center" wrapText="1"/>
    </xf>
    <xf numFmtId="0" fontId="96" fillId="2" borderId="10" xfId="0" applyFont="1" applyFill="1" applyBorder="1" applyAlignment="1">
      <alignment horizontal="center" vertical="center" wrapText="1"/>
    </xf>
    <xf numFmtId="0" fontId="96" fillId="2" borderId="16" xfId="0" applyFont="1" applyFill="1" applyBorder="1" applyAlignment="1">
      <alignment horizontal="center" vertical="center" wrapText="1"/>
    </xf>
    <xf numFmtId="0" fontId="18" fillId="0" borderId="10" xfId="0" applyFont="1" applyBorder="1" applyAlignment="1"/>
    <xf numFmtId="2" fontId="18" fillId="0" borderId="10" xfId="0" applyNumberFormat="1" applyFont="1" applyBorder="1" applyAlignment="1"/>
    <xf numFmtId="0" fontId="97" fillId="2" borderId="10" xfId="0" applyFont="1" applyFill="1" applyBorder="1" applyAlignment="1">
      <alignment wrapText="1"/>
    </xf>
    <xf numFmtId="0" fontId="96" fillId="2" borderId="10" xfId="0" applyFont="1" applyFill="1" applyBorder="1" applyAlignment="1">
      <alignment wrapText="1"/>
    </xf>
    <xf numFmtId="2" fontId="97" fillId="2" borderId="10" xfId="0" applyNumberFormat="1" applyFont="1" applyFill="1" applyBorder="1" applyAlignment="1">
      <alignment wrapText="1"/>
    </xf>
    <xf numFmtId="0" fontId="99" fillId="2" borderId="0" xfId="9" applyFont="1" applyFill="1" applyAlignment="1">
      <alignment horizontal="center" vertical="center" wrapText="1"/>
    </xf>
    <xf numFmtId="0" fontId="98" fillId="2" borderId="0" xfId="9" applyFont="1" applyFill="1"/>
    <xf numFmtId="0" fontId="96" fillId="2" borderId="0" xfId="9" applyFont="1" applyFill="1" applyAlignment="1">
      <alignment horizontal="right"/>
    </xf>
    <xf numFmtId="0" fontId="98" fillId="2" borderId="23" xfId="9" applyFont="1" applyFill="1" applyBorder="1" applyAlignment="1">
      <alignment horizontal="center" vertical="center" wrapText="1"/>
    </xf>
    <xf numFmtId="0" fontId="98" fillId="2" borderId="56" xfId="9" applyFont="1" applyFill="1" applyBorder="1" applyAlignment="1">
      <alignment wrapText="1"/>
    </xf>
    <xf numFmtId="0" fontId="96" fillId="2" borderId="10" xfId="0" applyFont="1" applyFill="1" applyBorder="1" applyAlignment="1">
      <alignment horizontal="center"/>
    </xf>
    <xf numFmtId="0" fontId="96" fillId="2" borderId="10" xfId="9" applyFont="1" applyFill="1" applyBorder="1" applyAlignment="1">
      <alignment horizontal="center"/>
    </xf>
    <xf numFmtId="0" fontId="98" fillId="2" borderId="10" xfId="9" applyFont="1" applyFill="1" applyBorder="1" applyAlignment="1">
      <alignment wrapText="1"/>
    </xf>
    <xf numFmtId="0" fontId="98" fillId="2" borderId="16" xfId="9" applyFont="1" applyFill="1" applyBorder="1" applyAlignment="1">
      <alignment horizontal="center" vertical="center" wrapText="1"/>
    </xf>
    <xf numFmtId="169" fontId="98" fillId="2" borderId="16" xfId="9" applyNumberFormat="1" applyFont="1" applyFill="1" applyBorder="1" applyAlignment="1">
      <alignment horizontal="center" vertical="center" wrapText="1"/>
    </xf>
    <xf numFmtId="0" fontId="96" fillId="2" borderId="10" xfId="9" applyFont="1" applyFill="1" applyBorder="1" applyAlignment="1">
      <alignment wrapText="1"/>
    </xf>
    <xf numFmtId="2" fontId="98" fillId="2" borderId="16" xfId="9" applyNumberFormat="1" applyFont="1" applyFill="1" applyBorder="1" applyAlignment="1">
      <alignment horizontal="center" vertical="center" wrapText="1"/>
    </xf>
    <xf numFmtId="16" fontId="96" fillId="2" borderId="10" xfId="9" applyNumberFormat="1" applyFont="1" applyFill="1" applyBorder="1" applyAlignment="1">
      <alignment horizontal="center"/>
    </xf>
    <xf numFmtId="0" fontId="97" fillId="2" borderId="10" xfId="9" applyFont="1" applyFill="1" applyBorder="1" applyAlignment="1">
      <alignment horizontal="center"/>
    </xf>
    <xf numFmtId="0" fontId="100" fillId="2" borderId="10" xfId="9" applyFont="1" applyFill="1" applyBorder="1" applyAlignment="1">
      <alignment wrapText="1"/>
    </xf>
    <xf numFmtId="0" fontId="98" fillId="2" borderId="23" xfId="9" applyFont="1" applyFill="1" applyBorder="1" applyAlignment="1">
      <alignment wrapText="1"/>
    </xf>
    <xf numFmtId="166" fontId="99" fillId="2" borderId="56" xfId="9" applyNumberFormat="1" applyFont="1" applyFill="1" applyBorder="1" applyAlignment="1">
      <alignment horizontal="center" vertical="center" wrapText="1"/>
    </xf>
    <xf numFmtId="0" fontId="98" fillId="2" borderId="0" xfId="9" applyFont="1" applyFill="1" applyBorder="1" applyAlignment="1">
      <alignment wrapText="1"/>
    </xf>
    <xf numFmtId="0" fontId="98" fillId="2" borderId="16" xfId="0" applyFont="1" applyFill="1" applyBorder="1" applyAlignment="1">
      <alignment horizontal="center"/>
    </xf>
    <xf numFmtId="166" fontId="99" fillId="2" borderId="16" xfId="0" applyNumberFormat="1" applyFont="1" applyFill="1" applyBorder="1" applyAlignment="1">
      <alignment horizontal="center" vertical="center" wrapText="1"/>
    </xf>
    <xf numFmtId="166" fontId="99" fillId="2" borderId="16" xfId="9" applyNumberFormat="1" applyFont="1" applyFill="1" applyBorder="1" applyAlignment="1">
      <alignment horizontal="center" vertical="center" wrapText="1"/>
    </xf>
    <xf numFmtId="0" fontId="99" fillId="2" borderId="1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96" fillId="2" borderId="0" xfId="0" applyFont="1" applyFill="1" applyBorder="1" applyAlignment="1">
      <alignment wrapText="1"/>
    </xf>
    <xf numFmtId="2" fontId="18" fillId="0" borderId="0" xfId="0" applyNumberFormat="1" applyFont="1" applyBorder="1" applyAlignment="1"/>
    <xf numFmtId="2" fontId="96" fillId="2" borderId="10" xfId="0" applyNumberFormat="1" applyFont="1" applyFill="1" applyBorder="1" applyAlignment="1">
      <alignment wrapText="1"/>
    </xf>
    <xf numFmtId="166" fontId="99" fillId="2" borderId="10" xfId="0" applyNumberFormat="1" applyFont="1" applyFill="1" applyBorder="1" applyAlignment="1">
      <alignment horizontal="center" vertical="center" wrapText="1"/>
    </xf>
    <xf numFmtId="166" fontId="99" fillId="2" borderId="10" xfId="9" applyNumberFormat="1" applyFont="1" applyFill="1" applyBorder="1" applyAlignment="1">
      <alignment horizontal="center" vertical="center" wrapText="1"/>
    </xf>
    <xf numFmtId="169" fontId="98" fillId="2" borderId="10" xfId="9" applyNumberFormat="1" applyFont="1" applyFill="1" applyBorder="1" applyAlignment="1">
      <alignment horizontal="center" vertical="center" wrapText="1"/>
    </xf>
    <xf numFmtId="0" fontId="71" fillId="2" borderId="10" xfId="0" applyNumberFormat="1" applyFont="1" applyFill="1" applyBorder="1" applyAlignment="1">
      <alignment horizontal="right"/>
    </xf>
    <xf numFmtId="0" fontId="71" fillId="2" borderId="10" xfId="0" applyNumberFormat="1" applyFont="1" applyFill="1" applyBorder="1"/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1" fontId="71" fillId="2" borderId="10" xfId="0" applyNumberFormat="1" applyFont="1" applyFill="1" applyBorder="1"/>
    <xf numFmtId="2" fontId="34" fillId="2" borderId="10" xfId="0" applyNumberFormat="1" applyFont="1" applyFill="1" applyBorder="1"/>
    <xf numFmtId="2" fontId="71" fillId="2" borderId="10" xfId="0" applyNumberFormat="1" applyFont="1" applyFill="1" applyBorder="1"/>
    <xf numFmtId="0" fontId="74" fillId="2" borderId="10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28" fillId="13" borderId="10" xfId="0" applyFont="1" applyFill="1" applyBorder="1" applyAlignment="1">
      <alignment horizontal="center" vertical="center" wrapText="1"/>
    </xf>
    <xf numFmtId="166" fontId="39" fillId="13" borderId="10" xfId="0" applyNumberFormat="1" applyFont="1" applyFill="1" applyBorder="1" applyAlignment="1">
      <alignment horizontal="center"/>
    </xf>
    <xf numFmtId="2" fontId="27" fillId="13" borderId="10" xfId="0" applyNumberFormat="1" applyFont="1" applyFill="1" applyBorder="1"/>
    <xf numFmtId="2" fontId="18" fillId="0" borderId="10" xfId="0" applyNumberFormat="1" applyFont="1" applyBorder="1"/>
    <xf numFmtId="0" fontId="27" fillId="0" borderId="10" xfId="0" applyFont="1" applyBorder="1"/>
    <xf numFmtId="0" fontId="27" fillId="0" borderId="10" xfId="0" applyFont="1" applyFill="1" applyBorder="1"/>
    <xf numFmtId="0" fontId="27" fillId="2" borderId="10" xfId="0" applyFont="1" applyFill="1" applyBorder="1"/>
    <xf numFmtId="169" fontId="101" fillId="0" borderId="10" xfId="0" applyNumberFormat="1" applyFont="1" applyBorder="1"/>
    <xf numFmtId="2" fontId="101" fillId="0" borderId="10" xfId="0" applyNumberFormat="1" applyFont="1" applyBorder="1"/>
    <xf numFmtId="2" fontId="1" fillId="2" borderId="10" xfId="0" applyNumberFormat="1" applyFont="1" applyFill="1" applyBorder="1"/>
    <xf numFmtId="2" fontId="98" fillId="2" borderId="10" xfId="9" applyNumberFormat="1" applyFont="1" applyFill="1" applyBorder="1" applyAlignment="1">
      <alignment horizontal="center" vertical="center" wrapText="1"/>
    </xf>
    <xf numFmtId="0" fontId="98" fillId="2" borderId="10" xfId="9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2" fontId="98" fillId="2" borderId="1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1" fontId="20" fillId="2" borderId="0" xfId="0" applyNumberFormat="1" applyFont="1" applyFill="1" applyBorder="1"/>
    <xf numFmtId="2" fontId="0" fillId="2" borderId="16" xfId="0" applyNumberFormat="1" applyFill="1" applyBorder="1"/>
    <xf numFmtId="0" fontId="72" fillId="2" borderId="23" xfId="0" applyFont="1" applyFill="1" applyBorder="1" applyAlignment="1">
      <alignment wrapText="1"/>
    </xf>
    <xf numFmtId="0" fontId="13" fillId="2" borderId="0" xfId="0" applyFont="1" applyFill="1" applyAlignment="1">
      <alignment horizontal="center" wrapText="1"/>
    </xf>
    <xf numFmtId="0" fontId="12" fillId="0" borderId="0" xfId="0" applyFont="1"/>
    <xf numFmtId="0" fontId="7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1" fillId="0" borderId="16" xfId="0" applyFont="1" applyBorder="1" applyAlignment="1">
      <alignment horizontal="center" vertical="center" wrapText="1"/>
    </xf>
    <xf numFmtId="0" fontId="52" fillId="2" borderId="0" xfId="0" applyFont="1" applyFill="1" applyAlignment="1">
      <alignment horizontal="right"/>
    </xf>
    <xf numFmtId="0" fontId="53" fillId="2" borderId="10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vertical="center" wrapText="1"/>
    </xf>
    <xf numFmtId="0" fontId="53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wrapText="1"/>
    </xf>
    <xf numFmtId="2" fontId="14" fillId="2" borderId="10" xfId="0" applyNumberFormat="1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wrapText="1"/>
    </xf>
    <xf numFmtId="169" fontId="14" fillId="2" borderId="0" xfId="0" applyNumberFormat="1" applyFont="1" applyFill="1" applyBorder="1" applyAlignment="1">
      <alignment horizontal="center"/>
    </xf>
    <xf numFmtId="0" fontId="12" fillId="0" borderId="31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63" xfId="0" applyFont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12" fillId="0" borderId="10" xfId="0" applyFont="1" applyBorder="1"/>
    <xf numFmtId="0" fontId="12" fillId="0" borderId="10" xfId="0" applyFont="1" applyFill="1" applyBorder="1"/>
    <xf numFmtId="0" fontId="49" fillId="0" borderId="10" xfId="0" applyFont="1" applyBorder="1"/>
    <xf numFmtId="4" fontId="99" fillId="2" borderId="16" xfId="9" applyNumberFormat="1" applyFont="1" applyFill="1" applyBorder="1" applyAlignment="1">
      <alignment horizontal="center" vertical="center" wrapText="1"/>
    </xf>
    <xf numFmtId="4" fontId="99" fillId="2" borderId="10" xfId="9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2" borderId="1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2" borderId="56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2" borderId="63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9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8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2" fillId="13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9" fillId="2" borderId="18" xfId="0" applyFont="1" applyFill="1" applyBorder="1" applyAlignment="1"/>
    <xf numFmtId="0" fontId="9" fillId="2" borderId="63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wrapText="1"/>
    </xf>
    <xf numFmtId="0" fontId="9" fillId="2" borderId="64" xfId="0" applyFont="1" applyFill="1" applyBorder="1" applyAlignment="1">
      <alignment horizontal="left" wrapText="1"/>
    </xf>
    <xf numFmtId="0" fontId="6" fillId="2" borderId="63" xfId="0" applyFont="1" applyFill="1" applyBorder="1" applyAlignment="1">
      <alignment horizontal="center" wrapText="1"/>
    </xf>
    <xf numFmtId="0" fontId="6" fillId="2" borderId="64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/>
    </xf>
    <xf numFmtId="0" fontId="4" fillId="2" borderId="108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7" fillId="0" borderId="0" xfId="0" applyNumberFormat="1" applyFont="1" applyFill="1" applyAlignment="1">
      <alignment horizont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59" fillId="0" borderId="56" xfId="0" applyFont="1" applyFill="1" applyBorder="1" applyAlignment="1">
      <alignment horizontal="center" wrapText="1"/>
    </xf>
    <xf numFmtId="0" fontId="59" fillId="0" borderId="57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59" fillId="0" borderId="37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8" fillId="0" borderId="2" xfId="0" applyFont="1" applyBorder="1" applyAlignment="1">
      <alignment horizontal="center" wrapText="1"/>
    </xf>
    <xf numFmtId="0" fontId="58" fillId="0" borderId="30" xfId="0" applyFont="1" applyBorder="1" applyAlignment="1">
      <alignment horizontal="center" wrapText="1"/>
    </xf>
    <xf numFmtId="49" fontId="57" fillId="13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9" fillId="0" borderId="40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58" fillId="0" borderId="46" xfId="0" applyFont="1" applyBorder="1" applyAlignment="1">
      <alignment horizontal="center" wrapText="1"/>
    </xf>
    <xf numFmtId="0" fontId="58" fillId="0" borderId="15" xfId="0" applyFont="1" applyBorder="1" applyAlignment="1">
      <alignment horizontal="center" wrapText="1"/>
    </xf>
    <xf numFmtId="0" fontId="58" fillId="0" borderId="24" xfId="0" applyFont="1" applyBorder="1" applyAlignment="1">
      <alignment horizontal="center" wrapText="1"/>
    </xf>
    <xf numFmtId="0" fontId="61" fillId="13" borderId="0" xfId="0" applyFont="1" applyFill="1" applyAlignment="1">
      <alignment horizontal="center"/>
    </xf>
    <xf numFmtId="49" fontId="63" fillId="2" borderId="0" xfId="0" applyNumberFormat="1" applyFont="1" applyFill="1" applyBorder="1" applyAlignment="1">
      <alignment horizontal="center" wrapText="1"/>
    </xf>
    <xf numFmtId="49" fontId="64" fillId="2" borderId="2" xfId="0" applyNumberFormat="1" applyFont="1" applyFill="1" applyBorder="1" applyAlignment="1">
      <alignment horizontal="center" vertical="center" wrapText="1"/>
    </xf>
    <xf numFmtId="49" fontId="64" fillId="2" borderId="30" xfId="0" applyNumberFormat="1" applyFont="1" applyFill="1" applyBorder="1" applyAlignment="1">
      <alignment horizontal="center" vertical="center" wrapText="1"/>
    </xf>
    <xf numFmtId="49" fontId="64" fillId="2" borderId="42" xfId="0" applyNumberFormat="1" applyFont="1" applyFill="1" applyBorder="1" applyAlignment="1">
      <alignment horizontal="center" vertical="center" wrapText="1"/>
    </xf>
    <xf numFmtId="49" fontId="64" fillId="2" borderId="40" xfId="0" applyNumberFormat="1" applyFont="1" applyFill="1" applyBorder="1" applyAlignment="1">
      <alignment horizontal="center" vertical="center" wrapText="1"/>
    </xf>
    <xf numFmtId="49" fontId="64" fillId="2" borderId="41" xfId="0" applyNumberFormat="1" applyFont="1" applyFill="1" applyBorder="1" applyAlignment="1">
      <alignment horizontal="center" vertical="center" wrapText="1"/>
    </xf>
    <xf numFmtId="49" fontId="64" fillId="2" borderId="8" xfId="0" applyNumberFormat="1" applyFont="1" applyFill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center" vertical="center" wrapText="1"/>
    </xf>
    <xf numFmtId="0" fontId="64" fillId="2" borderId="30" xfId="0" applyFont="1" applyFill="1" applyBorder="1" applyAlignment="1">
      <alignment horizontal="center" vertical="center" wrapText="1"/>
    </xf>
    <xf numFmtId="0" fontId="64" fillId="2" borderId="42" xfId="0" applyFont="1" applyFill="1" applyBorder="1" applyAlignment="1">
      <alignment horizontal="center" vertical="center" wrapText="1"/>
    </xf>
    <xf numFmtId="0" fontId="65" fillId="2" borderId="45" xfId="0" applyFont="1" applyFill="1" applyBorder="1" applyAlignment="1">
      <alignment horizontal="center" wrapText="1"/>
    </xf>
    <xf numFmtId="0" fontId="65" fillId="2" borderId="10" xfId="0" applyFont="1" applyFill="1" applyBorder="1" applyAlignment="1">
      <alignment horizontal="center" wrapText="1"/>
    </xf>
    <xf numFmtId="0" fontId="65" fillId="2" borderId="47" xfId="0" applyFont="1" applyFill="1" applyBorder="1" applyAlignment="1">
      <alignment horizontal="center" wrapText="1"/>
    </xf>
    <xf numFmtId="0" fontId="65" fillId="2" borderId="46" xfId="0" applyFont="1" applyFill="1" applyBorder="1" applyAlignment="1">
      <alignment horizontal="center" wrapText="1"/>
    </xf>
    <xf numFmtId="0" fontId="65" fillId="2" borderId="15" xfId="0" applyFont="1" applyFill="1" applyBorder="1" applyAlignment="1">
      <alignment horizontal="center" wrapText="1"/>
    </xf>
    <xf numFmtId="0" fontId="65" fillId="2" borderId="48" xfId="0" applyFont="1" applyFill="1" applyBorder="1" applyAlignment="1">
      <alignment horizontal="center" wrapText="1"/>
    </xf>
    <xf numFmtId="49" fontId="63" fillId="2" borderId="10" xfId="0" applyNumberFormat="1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/>
    </xf>
    <xf numFmtId="49" fontId="64" fillId="2" borderId="16" xfId="0" applyNumberFormat="1" applyFont="1" applyFill="1" applyBorder="1" applyAlignment="1">
      <alignment horizontal="center" vertical="center" wrapText="1"/>
    </xf>
    <xf numFmtId="49" fontId="64" fillId="2" borderId="18" xfId="0" applyNumberFormat="1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/>
    </xf>
    <xf numFmtId="14" fontId="62" fillId="2" borderId="10" xfId="0" applyNumberFormat="1" applyFont="1" applyFill="1" applyBorder="1" applyAlignment="1">
      <alignment horizontal="center" vertical="center"/>
    </xf>
    <xf numFmtId="49" fontId="64" fillId="2" borderId="56" xfId="0" applyNumberFormat="1" applyFont="1" applyFill="1" applyBorder="1" applyAlignment="1">
      <alignment horizontal="center" vertical="center" wrapText="1"/>
    </xf>
    <xf numFmtId="49" fontId="64" fillId="2" borderId="57" xfId="0" applyNumberFormat="1" applyFont="1" applyFill="1" applyBorder="1" applyAlignment="1">
      <alignment horizontal="center" vertical="center" wrapText="1"/>
    </xf>
    <xf numFmtId="49" fontId="64" fillId="2" borderId="58" xfId="0" applyNumberFormat="1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49" fontId="64" fillId="2" borderId="0" xfId="0" applyNumberFormat="1" applyFont="1" applyFill="1" applyBorder="1" applyAlignment="1">
      <alignment horizontal="center" vertical="center" wrapText="1"/>
    </xf>
    <xf numFmtId="49" fontId="64" fillId="2" borderId="62" xfId="0" applyNumberFormat="1" applyFont="1" applyFill="1" applyBorder="1" applyAlignment="1">
      <alignment horizontal="center" vertical="center" wrapText="1"/>
    </xf>
    <xf numFmtId="49" fontId="64" fillId="2" borderId="31" xfId="0" applyNumberFormat="1" applyFont="1" applyFill="1" applyBorder="1" applyAlignment="1">
      <alignment horizontal="center" vertical="center" wrapText="1"/>
    </xf>
    <xf numFmtId="49" fontId="64" fillId="2" borderId="52" xfId="0" applyNumberFormat="1" applyFont="1" applyFill="1" applyBorder="1" applyAlignment="1">
      <alignment horizontal="center" vertical="center" wrapText="1"/>
    </xf>
    <xf numFmtId="49" fontId="64" fillId="2" borderId="53" xfId="0" applyNumberFormat="1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wrapText="1"/>
    </xf>
    <xf numFmtId="49" fontId="63" fillId="2" borderId="0" xfId="0" applyNumberFormat="1" applyFont="1" applyFill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73" fillId="2" borderId="0" xfId="0" applyFont="1" applyFill="1" applyBorder="1" applyAlignment="1">
      <alignment horizontal="center" wrapText="1"/>
    </xf>
    <xf numFmtId="49" fontId="63" fillId="2" borderId="56" xfId="0" applyNumberFormat="1" applyFont="1" applyFill="1" applyBorder="1" applyAlignment="1">
      <alignment horizontal="center" vertical="center" wrapText="1"/>
    </xf>
    <xf numFmtId="49" fontId="63" fillId="2" borderId="57" xfId="0" applyNumberFormat="1" applyFont="1" applyFill="1" applyBorder="1" applyAlignment="1">
      <alignment horizontal="center" vertical="center" wrapText="1"/>
    </xf>
    <xf numFmtId="49" fontId="63" fillId="2" borderId="58" xfId="0" applyNumberFormat="1" applyFont="1" applyFill="1" applyBorder="1" applyAlignment="1">
      <alignment horizontal="center" vertical="center" wrapText="1"/>
    </xf>
    <xf numFmtId="49" fontId="63" fillId="2" borderId="31" xfId="0" applyNumberFormat="1" applyFont="1" applyFill="1" applyBorder="1" applyAlignment="1">
      <alignment horizontal="center" vertical="center" wrapText="1"/>
    </xf>
    <xf numFmtId="49" fontId="63" fillId="2" borderId="52" xfId="0" applyNumberFormat="1" applyFont="1" applyFill="1" applyBorder="1" applyAlignment="1">
      <alignment horizontal="center" vertical="center" wrapText="1"/>
    </xf>
    <xf numFmtId="49" fontId="63" fillId="2" borderId="53" xfId="0" applyNumberFormat="1" applyFont="1" applyFill="1" applyBorder="1" applyAlignment="1">
      <alignment horizontal="center" vertical="center" wrapText="1"/>
    </xf>
    <xf numFmtId="0" fontId="75" fillId="2" borderId="0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6" fillId="2" borderId="5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67" xfId="0" applyFont="1" applyFill="1" applyBorder="1" applyAlignment="1">
      <alignment horizontal="center" wrapText="1"/>
    </xf>
    <xf numFmtId="0" fontId="8" fillId="2" borderId="66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wrapText="1"/>
    </xf>
    <xf numFmtId="0" fontId="9" fillId="2" borderId="2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8" fillId="2" borderId="4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49" fontId="0" fillId="0" borderId="14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14" xfId="0" applyNumberFormat="1" applyBorder="1" applyAlignment="1">
      <alignment vertical="top"/>
    </xf>
    <xf numFmtId="49" fontId="0" fillId="0" borderId="19" xfId="0" applyNumberFormat="1" applyBorder="1" applyAlignment="1">
      <alignment vertical="top"/>
    </xf>
    <xf numFmtId="49" fontId="23" fillId="0" borderId="10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top"/>
    </xf>
    <xf numFmtId="49" fontId="0" fillId="0" borderId="47" xfId="0" applyNumberFormat="1" applyBorder="1" applyAlignment="1">
      <alignment horizontal="center" vertical="top"/>
    </xf>
    <xf numFmtId="49" fontId="0" fillId="0" borderId="10" xfId="0" applyNumberFormat="1" applyBorder="1" applyAlignment="1">
      <alignment vertical="top" wrapText="1"/>
    </xf>
    <xf numFmtId="0" fontId="22" fillId="10" borderId="0" xfId="2" applyFont="1" applyFill="1" applyAlignment="1">
      <alignment horizontal="center" vertical="center" wrapText="1"/>
    </xf>
    <xf numFmtId="0" fontId="22" fillId="10" borderId="1" xfId="2" applyFont="1" applyFill="1" applyBorder="1" applyAlignment="1">
      <alignment horizontal="center" vertical="center" wrapText="1"/>
    </xf>
    <xf numFmtId="0" fontId="23" fillId="0" borderId="44" xfId="3" applyBorder="1">
      <alignment horizontal="center" vertical="center" wrapText="1"/>
    </xf>
    <xf numFmtId="0" fontId="23" fillId="0" borderId="14" xfId="3" applyBorder="1">
      <alignment horizontal="center" vertical="center" wrapText="1"/>
    </xf>
    <xf numFmtId="0" fontId="23" fillId="0" borderId="45" xfId="3" applyBorder="1" applyAlignment="1">
      <alignment horizontal="center" vertical="center" wrapText="1"/>
    </xf>
    <xf numFmtId="0" fontId="23" fillId="0" borderId="10" xfId="3" applyBorder="1" applyAlignment="1">
      <alignment horizontal="center" vertical="center" wrapText="1"/>
    </xf>
    <xf numFmtId="0" fontId="23" fillId="0" borderId="45" xfId="3" applyBorder="1">
      <alignment horizontal="center" vertical="center" wrapText="1"/>
    </xf>
    <xf numFmtId="0" fontId="23" fillId="0" borderId="10" xfId="3" applyBorder="1">
      <alignment horizontal="center" vertical="center" wrapText="1"/>
    </xf>
    <xf numFmtId="49" fontId="18" fillId="0" borderId="14" xfId="0" applyNumberFormat="1" applyFont="1" applyBorder="1" applyAlignment="1">
      <alignment vertical="top"/>
    </xf>
    <xf numFmtId="49" fontId="18" fillId="0" borderId="10" xfId="0" applyNumberFormat="1" applyFont="1" applyBorder="1" applyAlignment="1">
      <alignment vertical="top"/>
    </xf>
    <xf numFmtId="0" fontId="68" fillId="0" borderId="44" xfId="3" applyFont="1" applyBorder="1">
      <alignment horizontal="center" vertical="center" wrapText="1"/>
    </xf>
    <xf numFmtId="0" fontId="68" fillId="0" borderId="14" xfId="3" applyFont="1" applyBorder="1">
      <alignment horizontal="center" vertical="center" wrapText="1"/>
    </xf>
    <xf numFmtId="0" fontId="69" fillId="0" borderId="45" xfId="3" applyFont="1" applyBorder="1">
      <alignment horizontal="center" vertical="center" wrapText="1"/>
    </xf>
    <xf numFmtId="0" fontId="69" fillId="0" borderId="10" xfId="3" applyFont="1" applyBorder="1">
      <alignment horizontal="center" vertical="center" wrapText="1"/>
    </xf>
    <xf numFmtId="0" fontId="25" fillId="10" borderId="0" xfId="7" applyNumberFormat="1" applyFont="1" applyFill="1" applyBorder="1" applyAlignment="1" applyProtection="1">
      <alignment horizontal="center" vertical="center" wrapText="1"/>
    </xf>
    <xf numFmtId="0" fontId="28" fillId="2" borderId="75" xfId="8" applyNumberFormat="1" applyFont="1" applyFill="1" applyBorder="1" applyAlignment="1" applyProtection="1">
      <alignment horizontal="center" vertical="top"/>
    </xf>
    <xf numFmtId="0" fontId="28" fillId="2" borderId="69" xfId="8" applyNumberFormat="1" applyFont="1" applyFill="1" applyBorder="1" applyAlignment="1" applyProtection="1">
      <alignment horizontal="center" vertical="top"/>
    </xf>
    <xf numFmtId="0" fontId="28" fillId="2" borderId="76" xfId="8" applyNumberFormat="1" applyFont="1" applyFill="1" applyBorder="1" applyAlignment="1" applyProtection="1">
      <alignment horizontal="center" vertical="center" wrapText="1"/>
    </xf>
    <xf numFmtId="0" fontId="28" fillId="2" borderId="11" xfId="8" applyNumberFormat="1" applyFont="1" applyFill="1" applyBorder="1" applyAlignment="1" applyProtection="1">
      <alignment horizontal="center" vertical="center" wrapText="1"/>
    </xf>
    <xf numFmtId="0" fontId="28" fillId="2" borderId="77" xfId="8" applyNumberFormat="1" applyFont="1" applyFill="1" applyBorder="1" applyAlignment="1" applyProtection="1">
      <alignment horizontal="center" vertical="center" wrapText="1"/>
    </xf>
    <xf numFmtId="0" fontId="28" fillId="2" borderId="78" xfId="8" applyNumberFormat="1" applyFont="1" applyFill="1" applyBorder="1" applyAlignment="1" applyProtection="1">
      <alignment horizontal="center" vertical="center" wrapText="1"/>
    </xf>
    <xf numFmtId="0" fontId="28" fillId="2" borderId="79" xfId="8" applyNumberFormat="1" applyFont="1" applyFill="1" applyBorder="1" applyAlignment="1" applyProtection="1">
      <alignment horizontal="center" vertical="center" wrapText="1"/>
    </xf>
    <xf numFmtId="49" fontId="91" fillId="0" borderId="10" xfId="12" applyFont="1" applyFill="1" applyBorder="1" applyAlignment="1" applyProtection="1">
      <alignment horizontal="center" vertical="center" wrapText="1"/>
    </xf>
    <xf numFmtId="49" fontId="89" fillId="0" borderId="23" xfId="12" applyFont="1" applyBorder="1" applyAlignment="1" applyProtection="1">
      <alignment horizontal="left" vertical="top" wrapText="1"/>
    </xf>
    <xf numFmtId="49" fontId="89" fillId="0" borderId="11" xfId="12" applyFont="1" applyBorder="1" applyAlignment="1" applyProtection="1">
      <alignment horizontal="left" vertical="top" wrapText="1"/>
    </xf>
    <xf numFmtId="0" fontId="32" fillId="10" borderId="0" xfId="10" applyFont="1" applyFill="1" applyBorder="1" applyAlignment="1" applyProtection="1">
      <alignment horizontal="left" vertical="center"/>
    </xf>
    <xf numFmtId="0" fontId="86" fillId="0" borderId="52" xfId="10" applyFont="1" applyFill="1" applyBorder="1" applyAlignment="1" applyProtection="1">
      <alignment horizontal="center" vertical="center"/>
      <protection locked="0"/>
    </xf>
    <xf numFmtId="0" fontId="87" fillId="0" borderId="0" xfId="0" applyFont="1" applyBorder="1" applyAlignment="1" applyProtection="1">
      <alignment horizontal="center"/>
    </xf>
    <xf numFmtId="0" fontId="88" fillId="0" borderId="0" xfId="0" applyFont="1" applyBorder="1" applyAlignment="1" applyProtection="1">
      <alignment horizontal="center"/>
    </xf>
    <xf numFmtId="0" fontId="89" fillId="0" borderId="10" xfId="13" applyFont="1" applyBorder="1" applyAlignment="1" applyProtection="1">
      <alignment horizontal="center" vertical="center" wrapText="1"/>
    </xf>
    <xf numFmtId="0" fontId="86" fillId="0" borderId="0" xfId="10" applyFont="1" applyFill="1" applyBorder="1" applyAlignment="1" applyProtection="1">
      <alignment horizontal="center" vertical="center"/>
    </xf>
    <xf numFmtId="9" fontId="14" fillId="0" borderId="0" xfId="0" applyNumberFormat="1" applyFont="1" applyBorder="1" applyAlignment="1">
      <alignment horizontal="justify" vertical="top" wrapText="1"/>
    </xf>
    <xf numFmtId="0" fontId="14" fillId="0" borderId="29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40" xfId="0" applyFont="1" applyBorder="1" applyAlignment="1">
      <alignment horizontal="justify" vertical="top" wrapText="1"/>
    </xf>
    <xf numFmtId="0" fontId="14" fillId="0" borderId="8" xfId="0" applyFont="1" applyBorder="1" applyAlignment="1">
      <alignment horizontal="justify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1" fontId="14" fillId="0" borderId="40" xfId="0" applyNumberFormat="1" applyFont="1" applyBorder="1" applyAlignment="1">
      <alignment horizontal="justify" vertical="top" wrapText="1"/>
    </xf>
    <xf numFmtId="1" fontId="14" fillId="0" borderId="8" xfId="0" applyNumberFormat="1" applyFont="1" applyBorder="1" applyAlignment="1">
      <alignment horizontal="justify" vertical="top" wrapText="1"/>
    </xf>
    <xf numFmtId="0" fontId="32" fillId="10" borderId="0" xfId="0" applyFont="1" applyFill="1" applyAlignment="1">
      <alignment horizontal="center"/>
    </xf>
    <xf numFmtId="0" fontId="13" fillId="0" borderId="40" xfId="0" applyFont="1" applyBorder="1" applyAlignment="1">
      <alignment vertical="top" wrapText="1"/>
    </xf>
    <xf numFmtId="0" fontId="13" fillId="0" borderId="41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33" fillId="0" borderId="40" xfId="0" applyFont="1" applyBorder="1" applyAlignment="1">
      <alignment vertical="top" wrapText="1"/>
    </xf>
    <xf numFmtId="0" fontId="33" fillId="0" borderId="41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79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20" fillId="0" borderId="9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0" fillId="0" borderId="87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1" fillId="0" borderId="87" xfId="0" applyFont="1" applyBorder="1" applyAlignment="1">
      <alignment vertical="center" wrapText="1"/>
    </xf>
    <xf numFmtId="0" fontId="1" fillId="0" borderId="91" xfId="0" applyFont="1" applyBorder="1" applyAlignment="1">
      <alignment vertical="center" wrapText="1"/>
    </xf>
    <xf numFmtId="0" fontId="12" fillId="0" borderId="84" xfId="0" applyFont="1" applyBorder="1" applyAlignment="1">
      <alignment vertical="center" wrapText="1"/>
    </xf>
    <xf numFmtId="0" fontId="12" fillId="0" borderId="8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102" xfId="0" applyFont="1" applyBorder="1" applyAlignment="1">
      <alignment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87" xfId="0" applyFont="1" applyBorder="1" applyAlignment="1">
      <alignment vertical="center" wrapText="1"/>
    </xf>
    <xf numFmtId="0" fontId="12" fillId="0" borderId="91" xfId="0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49" fillId="0" borderId="106" xfId="0" applyFont="1" applyBorder="1" applyAlignment="1">
      <alignment horizontal="right" vertical="top"/>
    </xf>
    <xf numFmtId="0" fontId="12" fillId="0" borderId="59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71" fillId="2" borderId="23" xfId="0" applyNumberFormat="1" applyFont="1" applyFill="1" applyBorder="1" applyAlignment="1">
      <alignment horizontal="center"/>
    </xf>
    <xf numFmtId="0" fontId="71" fillId="2" borderId="11" xfId="0" applyNumberFormat="1" applyFont="1" applyFill="1" applyBorder="1" applyAlignment="1">
      <alignment horizontal="center"/>
    </xf>
    <xf numFmtId="0" fontId="71" fillId="2" borderId="23" xfId="0" applyFont="1" applyFill="1" applyBorder="1" applyAlignment="1">
      <alignment horizontal="center" wrapText="1"/>
    </xf>
    <xf numFmtId="0" fontId="71" fillId="2" borderId="11" xfId="0" applyFont="1" applyFill="1" applyBorder="1" applyAlignment="1">
      <alignment horizontal="center" wrapText="1"/>
    </xf>
    <xf numFmtId="169" fontId="71" fillId="2" borderId="23" xfId="0" applyNumberFormat="1" applyFont="1" applyFill="1" applyBorder="1" applyAlignment="1">
      <alignment horizontal="center"/>
    </xf>
    <xf numFmtId="169" fontId="71" fillId="2" borderId="11" xfId="0" applyNumberFormat="1" applyFont="1" applyFill="1" applyBorder="1" applyAlignment="1">
      <alignment horizontal="center"/>
    </xf>
    <xf numFmtId="0" fontId="49" fillId="2" borderId="16" xfId="0" applyFont="1" applyFill="1" applyBorder="1" applyAlignment="1">
      <alignment horizontal="center" wrapText="1"/>
    </xf>
    <xf numFmtId="0" fontId="49" fillId="2" borderId="17" xfId="0" applyFont="1" applyFill="1" applyBorder="1" applyAlignment="1">
      <alignment horizontal="center" wrapText="1"/>
    </xf>
    <xf numFmtId="0" fontId="49" fillId="2" borderId="18" xfId="0" applyFont="1" applyFill="1" applyBorder="1" applyAlignment="1">
      <alignment horizontal="center" wrapText="1"/>
    </xf>
    <xf numFmtId="0" fontId="71" fillId="2" borderId="23" xfId="0" applyFont="1" applyFill="1" applyBorder="1" applyAlignment="1">
      <alignment horizontal="center"/>
    </xf>
    <xf numFmtId="0" fontId="71" fillId="2" borderId="37" xfId="0" applyFont="1" applyFill="1" applyBorder="1" applyAlignment="1">
      <alignment horizontal="center"/>
    </xf>
    <xf numFmtId="0" fontId="71" fillId="2" borderId="11" xfId="0" applyFont="1" applyFill="1" applyBorder="1" applyAlignment="1">
      <alignment horizontal="center"/>
    </xf>
    <xf numFmtId="0" fontId="72" fillId="2" borderId="0" xfId="0" applyFont="1" applyFill="1" applyAlignment="1">
      <alignment horizontal="center"/>
    </xf>
    <xf numFmtId="0" fontId="71" fillId="2" borderId="31" xfId="0" applyFont="1" applyFill="1" applyBorder="1" applyAlignment="1">
      <alignment horizontal="left" wrapText="1"/>
    </xf>
    <xf numFmtId="0" fontId="71" fillId="2" borderId="52" xfId="0" applyFont="1" applyFill="1" applyBorder="1" applyAlignment="1">
      <alignment horizontal="left" wrapText="1"/>
    </xf>
    <xf numFmtId="2" fontId="71" fillId="2" borderId="23" xfId="0" applyNumberFormat="1" applyFont="1" applyFill="1" applyBorder="1" applyAlignment="1">
      <alignment horizontal="center"/>
    </xf>
    <xf numFmtId="2" fontId="71" fillId="2" borderId="37" xfId="0" applyNumberFormat="1" applyFont="1" applyFill="1" applyBorder="1" applyAlignment="1">
      <alignment horizontal="center"/>
    </xf>
    <xf numFmtId="2" fontId="71" fillId="2" borderId="11" xfId="0" applyNumberFormat="1" applyFont="1" applyFill="1" applyBorder="1" applyAlignment="1">
      <alignment horizontal="center"/>
    </xf>
    <xf numFmtId="49" fontId="20" fillId="2" borderId="52" xfId="0" applyNumberFormat="1" applyFont="1" applyFill="1" applyBorder="1" applyAlignment="1">
      <alignment wrapText="1"/>
    </xf>
    <xf numFmtId="0" fontId="20" fillId="2" borderId="52" xfId="0" applyFont="1" applyFill="1" applyBorder="1" applyAlignment="1">
      <alignment wrapText="1"/>
    </xf>
    <xf numFmtId="0" fontId="96" fillId="2" borderId="0" xfId="0" applyFont="1" applyFill="1" applyAlignment="1">
      <alignment horizontal="left" wrapText="1"/>
    </xf>
    <xf numFmtId="0" fontId="99" fillId="2" borderId="0" xfId="9" applyFont="1" applyFill="1" applyAlignment="1">
      <alignment horizontal="center" vertical="center" wrapText="1"/>
    </xf>
    <xf numFmtId="0" fontId="93" fillId="2" borderId="0" xfId="0" applyFont="1" applyFill="1" applyAlignment="1">
      <alignment horizontal="center" vertical="center" wrapText="1"/>
    </xf>
    <xf numFmtId="0" fontId="94" fillId="2" borderId="10" xfId="0" applyFont="1" applyFill="1" applyBorder="1" applyAlignment="1">
      <alignment vertical="center"/>
    </xf>
    <xf numFmtId="0" fontId="94" fillId="2" borderId="10" xfId="0" applyFont="1" applyFill="1" applyBorder="1" applyAlignment="1">
      <alignment wrapText="1"/>
    </xf>
    <xf numFmtId="0" fontId="94" fillId="2" borderId="10" xfId="0" applyFont="1" applyFill="1" applyBorder="1" applyAlignment="1">
      <alignment horizontal="center"/>
    </xf>
    <xf numFmtId="0" fontId="18" fillId="2" borderId="0" xfId="0" applyFont="1" applyFill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top" wrapText="1"/>
    </xf>
    <xf numFmtId="0" fontId="28" fillId="2" borderId="10" xfId="0" applyFont="1" applyFill="1" applyBorder="1" applyAlignment="1">
      <alignment vertical="top" wrapText="1"/>
    </xf>
    <xf numFmtId="0" fontId="13" fillId="2" borderId="0" xfId="0" applyFont="1" applyFill="1" applyAlignment="1">
      <alignment horizontal="center" vertical="center" wrapText="1"/>
    </xf>
    <xf numFmtId="0" fontId="38" fillId="2" borderId="52" xfId="0" applyFont="1" applyFill="1" applyBorder="1" applyAlignment="1">
      <alignment horizontal="center" vertical="top" wrapText="1"/>
    </xf>
    <xf numFmtId="0" fontId="39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top" wrapText="1"/>
    </xf>
    <xf numFmtId="0" fontId="39" fillId="2" borderId="5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41" fillId="2" borderId="52" xfId="0" applyFont="1" applyFill="1" applyBorder="1" applyAlignment="1">
      <alignment horizontal="center" vertical="center" wrapText="1"/>
    </xf>
    <xf numFmtId="0" fontId="75" fillId="2" borderId="52" xfId="0" applyFont="1" applyFill="1" applyBorder="1" applyAlignment="1">
      <alignment horizontal="center"/>
    </xf>
    <xf numFmtId="0" fontId="75" fillId="2" borderId="0" xfId="0" applyFont="1" applyFill="1" applyBorder="1" applyAlignment="1">
      <alignment horizontal="center"/>
    </xf>
    <xf numFmtId="169" fontId="9" fillId="3" borderId="16" xfId="0" applyNumberFormat="1" applyFont="1" applyFill="1" applyBorder="1" applyAlignment="1">
      <alignment horizontal="center" vertical="center" wrapText="1"/>
    </xf>
    <xf numFmtId="169" fontId="9" fillId="3" borderId="17" xfId="0" applyNumberFormat="1" applyFont="1" applyFill="1" applyBorder="1" applyAlignment="1">
      <alignment horizontal="center" vertical="center" wrapText="1"/>
    </xf>
    <xf numFmtId="169" fontId="9" fillId="3" borderId="18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1" fontId="8" fillId="3" borderId="18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left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169" fontId="46" fillId="3" borderId="0" xfId="0" applyNumberFormat="1" applyFont="1" applyFill="1" applyAlignment="1">
      <alignment horizontal="center" vertical="center" wrapText="1"/>
    </xf>
    <xf numFmtId="169" fontId="9" fillId="3" borderId="56" xfId="0" applyNumberFormat="1" applyFont="1" applyFill="1" applyBorder="1" applyAlignment="1">
      <alignment horizontal="center" vertical="center" wrapText="1"/>
    </xf>
    <xf numFmtId="169" fontId="9" fillId="3" borderId="57" xfId="0" applyNumberFormat="1" applyFont="1" applyFill="1" applyBorder="1" applyAlignment="1">
      <alignment horizontal="center" vertical="center" wrapText="1"/>
    </xf>
    <xf numFmtId="169" fontId="9" fillId="3" borderId="58" xfId="0" applyNumberFormat="1" applyFont="1" applyFill="1" applyBorder="1" applyAlignment="1">
      <alignment horizontal="center" vertical="center" wrapText="1"/>
    </xf>
    <xf numFmtId="169" fontId="9" fillId="3" borderId="31" xfId="0" applyNumberFormat="1" applyFont="1" applyFill="1" applyBorder="1" applyAlignment="1">
      <alignment horizontal="center" vertical="center" wrapText="1"/>
    </xf>
    <xf numFmtId="169" fontId="9" fillId="3" borderId="52" xfId="0" applyNumberFormat="1" applyFont="1" applyFill="1" applyBorder="1" applyAlignment="1">
      <alignment horizontal="center" vertical="center" wrapText="1"/>
    </xf>
    <xf numFmtId="169" fontId="9" fillId="3" borderId="53" xfId="0" applyNumberFormat="1" applyFont="1" applyFill="1" applyBorder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2" borderId="16" xfId="0" applyNumberFormat="1" applyFont="1" applyFill="1" applyBorder="1" applyAlignment="1">
      <alignment horizontal="left" vertical="center" wrapText="1"/>
    </xf>
    <xf numFmtId="169" fontId="9" fillId="2" borderId="18" xfId="0" applyNumberFormat="1" applyFont="1" applyFill="1" applyBorder="1" applyAlignment="1">
      <alignment horizontal="left" vertical="center" wrapText="1"/>
    </xf>
    <xf numFmtId="169" fontId="9" fillId="3" borderId="0" xfId="0" applyNumberFormat="1" applyFont="1" applyFill="1" applyAlignment="1">
      <alignment horizontal="center" vertical="center" wrapText="1"/>
    </xf>
    <xf numFmtId="169" fontId="8" fillId="3" borderId="0" xfId="0" applyNumberFormat="1" applyFont="1" applyFill="1" applyAlignment="1">
      <alignment horizontal="center" vertical="center" wrapText="1"/>
    </xf>
    <xf numFmtId="169" fontId="8" fillId="3" borderId="0" xfId="0" applyNumberFormat="1" applyFont="1" applyFill="1" applyAlignment="1">
      <alignment horizontal="left" vertical="center" wrapText="1"/>
    </xf>
    <xf numFmtId="169" fontId="9" fillId="3" borderId="23" xfId="0" applyNumberFormat="1" applyFont="1" applyFill="1" applyBorder="1" applyAlignment="1">
      <alignment horizontal="left" vertical="center" wrapText="1"/>
    </xf>
    <xf numFmtId="169" fontId="45" fillId="13" borderId="0" xfId="0" applyNumberFormat="1" applyFont="1" applyFill="1" applyAlignment="1">
      <alignment horizontal="center" vertical="center" wrapText="1"/>
    </xf>
    <xf numFmtId="169" fontId="0" fillId="3" borderId="0" xfId="0" applyNumberFormat="1" applyFill="1" applyAlignment="1">
      <alignment horizontal="left" vertical="center" wrapText="1"/>
    </xf>
    <xf numFmtId="169" fontId="2" fillId="13" borderId="0" xfId="0" applyNumberFormat="1" applyFont="1" applyFill="1" applyAlignment="1">
      <alignment horizontal="center" vertical="center" wrapText="1"/>
    </xf>
    <xf numFmtId="169" fontId="4" fillId="13" borderId="0" xfId="0" applyNumberFormat="1" applyFont="1" applyFill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8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11" xfId="0" applyFont="1" applyBorder="1" applyAlignment="1">
      <alignment horizontal="left" wrapText="1"/>
    </xf>
    <xf numFmtId="0" fontId="6" fillId="0" borderId="31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6" fillId="0" borderId="23" xfId="0" applyFont="1" applyBorder="1" applyAlignment="1">
      <alignment horizontal="left" wrapText="1"/>
    </xf>
    <xf numFmtId="0" fontId="6" fillId="0" borderId="56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/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47" fillId="13" borderId="30" xfId="0" applyFont="1" applyFill="1" applyBorder="1" applyAlignment="1">
      <alignment horizontal="center"/>
    </xf>
    <xf numFmtId="0" fontId="47" fillId="13" borderId="0" xfId="0" applyFont="1" applyFill="1" applyBorder="1" applyAlignment="1">
      <alignment horizontal="center"/>
    </xf>
    <xf numFmtId="0" fontId="47" fillId="13" borderId="42" xfId="0" applyFont="1" applyFill="1" applyBorder="1" applyAlignment="1">
      <alignment horizontal="center"/>
    </xf>
    <xf numFmtId="0" fontId="47" fillId="13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6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0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5" fillId="2" borderId="26" xfId="0" applyFont="1" applyFill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2" borderId="10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4" xfId="0" applyFont="1" applyFill="1" applyBorder="1" applyAlignment="1"/>
    <xf numFmtId="0" fontId="11" fillId="0" borderId="10" xfId="0" applyFont="1" applyFill="1" applyBorder="1" applyAlignment="1"/>
    <xf numFmtId="164" fontId="11" fillId="0" borderId="10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164" fontId="13" fillId="0" borderId="26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horizontal="center" wrapText="1"/>
    </xf>
    <xf numFmtId="0" fontId="11" fillId="2" borderId="14" xfId="0" applyFont="1" applyFill="1" applyBorder="1" applyAlignment="1"/>
    <xf numFmtId="0" fontId="11" fillId="2" borderId="10" xfId="0" applyFont="1" applyFill="1" applyBorder="1" applyAlignment="1"/>
    <xf numFmtId="164" fontId="11" fillId="2" borderId="10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0" fontId="18" fillId="2" borderId="54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left"/>
    </xf>
    <xf numFmtId="0" fontId="13" fillId="0" borderId="10" xfId="0" applyFont="1" applyBorder="1" applyAlignment="1">
      <alignment horizontal="left"/>
    </xf>
    <xf numFmtId="2" fontId="11" fillId="0" borderId="10" xfId="0" applyNumberFormat="1" applyFont="1" applyBorder="1" applyAlignment="1">
      <alignment horizontal="center" wrapText="1"/>
    </xf>
    <xf numFmtId="1" fontId="17" fillId="0" borderId="25" xfId="0" applyNumberFormat="1" applyFont="1" applyBorder="1" applyAlignment="1">
      <alignment horizontal="center"/>
    </xf>
    <xf numFmtId="1" fontId="17" fillId="0" borderId="26" xfId="0" applyNumberFormat="1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50" fillId="0" borderId="65" xfId="0" applyFont="1" applyBorder="1" applyAlignment="1">
      <alignment horizontal="center" wrapText="1"/>
    </xf>
    <xf numFmtId="0" fontId="50" fillId="0" borderId="7" xfId="0" applyFont="1" applyBorder="1" applyAlignment="1">
      <alignment horizontal="center" wrapText="1"/>
    </xf>
    <xf numFmtId="0" fontId="50" fillId="2" borderId="36" xfId="0" applyFont="1" applyFill="1" applyBorder="1" applyAlignment="1">
      <alignment horizontal="center"/>
    </xf>
    <xf numFmtId="0" fontId="50" fillId="2" borderId="37" xfId="0" applyFont="1" applyFill="1" applyBorder="1" applyAlignment="1">
      <alignment horizontal="center"/>
    </xf>
    <xf numFmtId="0" fontId="50" fillId="2" borderId="65" xfId="0" applyFont="1" applyFill="1" applyBorder="1" applyAlignment="1">
      <alignment horizontal="center" wrapText="1"/>
    </xf>
    <xf numFmtId="0" fontId="50" fillId="2" borderId="37" xfId="0" applyFont="1" applyFill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9" fillId="2" borderId="40" xfId="0" applyFont="1" applyFill="1" applyBorder="1" applyAlignment="1">
      <alignment vertical="top" wrapText="1"/>
    </xf>
    <xf numFmtId="0" fontId="29" fillId="2" borderId="41" xfId="0" applyFont="1" applyFill="1" applyBorder="1" applyAlignment="1">
      <alignment vertical="top" wrapText="1"/>
    </xf>
    <xf numFmtId="0" fontId="29" fillId="2" borderId="8" xfId="0" applyFont="1" applyFill="1" applyBorder="1" applyAlignment="1">
      <alignment vertical="top" wrapText="1"/>
    </xf>
    <xf numFmtId="0" fontId="47" fillId="2" borderId="0" xfId="0" applyFont="1" applyFill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9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49" fillId="0" borderId="11" xfId="0" applyFont="1" applyBorder="1" applyAlignment="1">
      <alignment horizontal="center" vertical="top"/>
    </xf>
    <xf numFmtId="0" fontId="49" fillId="0" borderId="10" xfId="0" applyFont="1" applyBorder="1" applyAlignment="1">
      <alignment horizontal="center" vertical="top"/>
    </xf>
    <xf numFmtId="0" fontId="49" fillId="0" borderId="47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49" fillId="0" borderId="4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3" fillId="2" borderId="0" xfId="9" applyFont="1" applyFill="1" applyAlignment="1">
      <alignment horizontal="center" vertical="center" wrapText="1"/>
    </xf>
    <xf numFmtId="0" fontId="14" fillId="2" borderId="23" xfId="9" applyFont="1" applyFill="1" applyBorder="1" applyAlignment="1">
      <alignment horizontal="center" vertical="center" wrapText="1"/>
    </xf>
    <xf numFmtId="0" fontId="14" fillId="2" borderId="11" xfId="9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4" fillId="2" borderId="0" xfId="9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15">
    <cellStyle name="Заголовок" xfId="2"/>
    <cellStyle name="ЗаголовокСтолбца" xfId="3"/>
    <cellStyle name="Значение" xfId="4"/>
    <cellStyle name="Обычный" xfId="0" builtinId="0"/>
    <cellStyle name="Обычный 10" xfId="12"/>
    <cellStyle name="Обычный_methodics230802-pril1-3" xfId="8"/>
    <cellStyle name="Обычный_Книга1" xfId="7"/>
    <cellStyle name="Обычный_Полезный отпуск электроэнергии и мощности, реализуемой по регулируемым ценам" xfId="11"/>
    <cellStyle name="Обычный_Сведения об отпуске (передаче) электроэнергии потребителям распределительными сетевыми организациями" xfId="13"/>
    <cellStyle name="Обычный_тарифы на 2002г с 1-01" xfId="9"/>
    <cellStyle name="Обычный_Шаблон по источникам для Модуля Реестр (2)" xfId="10"/>
    <cellStyle name="Процентный" xfId="1" builtinId="5"/>
    <cellStyle name="Финансовый" xfId="14" builtinId="3"/>
    <cellStyle name="Формула" xfId="5"/>
    <cellStyle name="ФормулаВБ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nigorova\Desktop\&#1056;&#1072;&#1089;&#1095;&#1077;&#1090;%20&#1087;&#1086;&#1090;&#1077;&#1088;&#1100;\&#1056;&#1072;&#1089;&#1095;&#1077;&#1090;%20&#1091;&#1088;&#1086;&#1074;&#1085;&#1103;%20&#1087;&#1086;&#1090;&#1077;&#1088;&#1100;%20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-е величины и уровня потерь "/>
      <sheetName val="Приказ МЭ от 30.09.2014 № 674"/>
      <sheetName val="Пример заполнения"/>
      <sheetName val="Лист1"/>
      <sheetName val="Лист2"/>
    </sheetNames>
    <sheetDataSet>
      <sheetData sheetId="0"/>
      <sheetData sheetId="1">
        <row r="11">
          <cell r="C11">
            <v>6.08</v>
          </cell>
        </row>
        <row r="12">
          <cell r="C12">
            <v>4</v>
          </cell>
        </row>
        <row r="13">
          <cell r="C13">
            <v>2.0699999999999998</v>
          </cell>
        </row>
        <row r="15">
          <cell r="C15">
            <v>7.5</v>
          </cell>
        </row>
        <row r="16">
          <cell r="C16">
            <v>5.4</v>
          </cell>
        </row>
        <row r="17">
          <cell r="C17">
            <v>3.22</v>
          </cell>
        </row>
        <row r="21">
          <cell r="D21">
            <v>6.12</v>
          </cell>
        </row>
        <row r="22">
          <cell r="D22">
            <v>6.48</v>
          </cell>
        </row>
        <row r="23">
          <cell r="D23">
            <v>7.84</v>
          </cell>
        </row>
        <row r="24">
          <cell r="D24">
            <v>4.8499999999999996</v>
          </cell>
        </row>
        <row r="26">
          <cell r="D26">
            <v>7.27</v>
          </cell>
        </row>
        <row r="27">
          <cell r="D27">
            <v>12.02</v>
          </cell>
        </row>
        <row r="28">
          <cell r="D28">
            <v>12.76</v>
          </cell>
        </row>
        <row r="29">
          <cell r="D29">
            <v>8.08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topLeftCell="A79" workbookViewId="0">
      <selection activeCell="A85" sqref="A85:L85"/>
    </sheetView>
  </sheetViews>
  <sheetFormatPr defaultRowHeight="14.5" x14ac:dyDescent="0.35"/>
  <cols>
    <col min="1" max="1" width="3.26953125" customWidth="1"/>
    <col min="4" max="4" width="3.1796875" customWidth="1"/>
    <col min="6" max="6" width="12.1796875" customWidth="1"/>
    <col min="7" max="7" width="8" customWidth="1"/>
    <col min="8" max="8" width="5.1796875" customWidth="1"/>
    <col min="9" max="9" width="7.90625" customWidth="1"/>
    <col min="10" max="10" width="1.26953125" customWidth="1"/>
    <col min="11" max="11" width="5.81640625" customWidth="1"/>
    <col min="12" max="12" width="10" customWidth="1"/>
  </cols>
  <sheetData>
    <row r="1" spans="1:13" x14ac:dyDescent="0.35">
      <c r="G1" s="43" t="s">
        <v>88</v>
      </c>
      <c r="H1" s="44"/>
      <c r="I1" s="44"/>
      <c r="J1" s="285"/>
    </row>
    <row r="2" spans="1:13" x14ac:dyDescent="0.35">
      <c r="G2" s="44" t="s">
        <v>89</v>
      </c>
      <c r="H2" s="44"/>
      <c r="I2" s="44"/>
      <c r="J2" s="285"/>
    </row>
    <row r="3" spans="1:13" x14ac:dyDescent="0.35">
      <c r="G3" s="44" t="s">
        <v>90</v>
      </c>
      <c r="H3" s="44"/>
      <c r="I3" s="44"/>
      <c r="J3" s="285"/>
    </row>
    <row r="4" spans="1:13" x14ac:dyDescent="0.35">
      <c r="G4" s="44" t="s">
        <v>964</v>
      </c>
      <c r="H4" s="44"/>
      <c r="I4" s="44"/>
      <c r="J4" s="285"/>
    </row>
    <row r="5" spans="1:13" ht="25.5" customHeight="1" thickBot="1" x14ac:dyDescent="0.4">
      <c r="A5" s="1"/>
      <c r="B5" s="1032" t="s">
        <v>1442</v>
      </c>
      <c r="C5" s="1032"/>
      <c r="D5" s="1032"/>
      <c r="E5" s="1032"/>
      <c r="F5" s="1032"/>
      <c r="G5" s="1032"/>
      <c r="H5" s="1032"/>
      <c r="I5" s="1032"/>
      <c r="J5" s="1032"/>
      <c r="K5" s="1032"/>
      <c r="L5" s="1032"/>
    </row>
    <row r="6" spans="1:13" ht="35" thickBot="1" x14ac:dyDescent="0.4">
      <c r="A6" s="275" t="s">
        <v>0</v>
      </c>
      <c r="B6" s="1033" t="s">
        <v>1</v>
      </c>
      <c r="C6" s="1034"/>
      <c r="D6" s="1034"/>
      <c r="E6" s="1034"/>
      <c r="F6" s="1035"/>
      <c r="G6" s="1033" t="s">
        <v>2</v>
      </c>
      <c r="H6" s="1034"/>
      <c r="I6" s="276" t="s">
        <v>3</v>
      </c>
      <c r="J6" s="1034" t="s">
        <v>4</v>
      </c>
      <c r="K6" s="1034"/>
      <c r="L6" s="277" t="s">
        <v>5</v>
      </c>
    </row>
    <row r="7" spans="1:13" x14ac:dyDescent="0.35">
      <c r="A7" s="1036" t="s">
        <v>6</v>
      </c>
      <c r="B7" s="1037"/>
      <c r="C7" s="1037"/>
      <c r="D7" s="1037"/>
      <c r="E7" s="1037"/>
      <c r="F7" s="1037"/>
      <c r="G7" s="1038"/>
      <c r="H7" s="1038"/>
      <c r="I7" s="1038"/>
      <c r="J7" s="1038"/>
      <c r="K7" s="1039"/>
      <c r="L7" s="278" t="s">
        <v>7</v>
      </c>
    </row>
    <row r="8" spans="1:13" x14ac:dyDescent="0.35">
      <c r="A8" s="241">
        <v>1</v>
      </c>
      <c r="B8" s="946" t="s">
        <v>38</v>
      </c>
      <c r="C8" s="946"/>
      <c r="D8" s="946"/>
      <c r="E8" s="946"/>
      <c r="F8" s="946"/>
      <c r="G8" s="1030">
        <v>1</v>
      </c>
      <c r="H8" s="1021"/>
      <c r="I8" s="259">
        <v>6.5</v>
      </c>
      <c r="J8" s="259">
        <v>8.15</v>
      </c>
      <c r="K8" s="263">
        <v>16</v>
      </c>
      <c r="L8" s="279">
        <v>16</v>
      </c>
      <c r="M8" s="22"/>
    </row>
    <row r="9" spans="1:13" x14ac:dyDescent="0.35">
      <c r="A9" s="55">
        <v>2</v>
      </c>
      <c r="B9" s="946" t="s">
        <v>8</v>
      </c>
      <c r="C9" s="946"/>
      <c r="D9" s="946"/>
      <c r="E9" s="946"/>
      <c r="F9" s="946"/>
      <c r="G9" s="1021">
        <v>1</v>
      </c>
      <c r="H9" s="1022"/>
      <c r="I9" s="259">
        <v>5.8</v>
      </c>
      <c r="J9" s="1022">
        <v>15</v>
      </c>
      <c r="K9" s="1022"/>
      <c r="L9" s="279">
        <f t="shared" ref="L9" si="0">J9*G9</f>
        <v>15</v>
      </c>
    </row>
    <row r="10" spans="1:13" x14ac:dyDescent="0.35">
      <c r="A10" s="55">
        <f>A9+1</f>
        <v>3</v>
      </c>
      <c r="B10" s="946" t="s">
        <v>9</v>
      </c>
      <c r="C10" s="946"/>
      <c r="D10" s="946"/>
      <c r="E10" s="946"/>
      <c r="F10" s="946"/>
      <c r="G10" s="1021">
        <v>1</v>
      </c>
      <c r="H10" s="1022"/>
      <c r="I10" s="235">
        <v>5.8</v>
      </c>
      <c r="J10" s="1022">
        <v>15</v>
      </c>
      <c r="K10" s="1022"/>
      <c r="L10" s="3">
        <f t="shared" ref="L10:L23" si="1">J10*G10</f>
        <v>15</v>
      </c>
    </row>
    <row r="11" spans="1:13" x14ac:dyDescent="0.35">
      <c r="A11" s="55">
        <f t="shared" ref="A11:A22" si="2">A10+1</f>
        <v>4</v>
      </c>
      <c r="B11" s="946" t="s">
        <v>10</v>
      </c>
      <c r="C11" s="946"/>
      <c r="D11" s="946"/>
      <c r="E11" s="946"/>
      <c r="F11" s="946"/>
      <c r="G11" s="1021">
        <v>1</v>
      </c>
      <c r="H11" s="1022"/>
      <c r="I11" s="235">
        <v>2.66</v>
      </c>
      <c r="J11" s="1022">
        <v>9</v>
      </c>
      <c r="K11" s="1022"/>
      <c r="L11" s="3">
        <f t="shared" ref="L11" si="3">J11*G11</f>
        <v>9</v>
      </c>
    </row>
    <row r="12" spans="1:13" x14ac:dyDescent="0.35">
      <c r="A12" s="55">
        <f t="shared" si="2"/>
        <v>5</v>
      </c>
      <c r="B12" s="946" t="s">
        <v>11</v>
      </c>
      <c r="C12" s="946"/>
      <c r="D12" s="946"/>
      <c r="E12" s="946"/>
      <c r="F12" s="946"/>
      <c r="G12" s="1021">
        <v>1</v>
      </c>
      <c r="H12" s="1022"/>
      <c r="I12" s="235">
        <v>2.66</v>
      </c>
      <c r="J12" s="1022">
        <v>9</v>
      </c>
      <c r="K12" s="1022"/>
      <c r="L12" s="3">
        <f>J12*G12</f>
        <v>9</v>
      </c>
    </row>
    <row r="13" spans="1:13" x14ac:dyDescent="0.35">
      <c r="A13" s="55">
        <f t="shared" si="2"/>
        <v>6</v>
      </c>
      <c r="B13" s="1040" t="s">
        <v>91</v>
      </c>
      <c r="C13" s="1040"/>
      <c r="D13" s="1040"/>
      <c r="E13" s="1040"/>
      <c r="F13" s="1040"/>
      <c r="G13" s="1021">
        <v>1</v>
      </c>
      <c r="H13" s="1022"/>
      <c r="I13" s="235">
        <v>2.66</v>
      </c>
      <c r="J13" s="1022">
        <v>9</v>
      </c>
      <c r="K13" s="1022"/>
      <c r="L13" s="3">
        <f>J13*G13</f>
        <v>9</v>
      </c>
    </row>
    <row r="14" spans="1:13" x14ac:dyDescent="0.35">
      <c r="A14" s="55">
        <v>7</v>
      </c>
      <c r="B14" s="946" t="s">
        <v>12</v>
      </c>
      <c r="C14" s="946"/>
      <c r="D14" s="946"/>
      <c r="E14" s="946"/>
      <c r="F14" s="946"/>
      <c r="G14" s="1021">
        <v>1</v>
      </c>
      <c r="H14" s="1022"/>
      <c r="I14" s="235">
        <v>2.66</v>
      </c>
      <c r="J14" s="1022">
        <v>9</v>
      </c>
      <c r="K14" s="1022"/>
      <c r="L14" s="3">
        <f t="shared" ref="L14:L15" si="4">J14*G14</f>
        <v>9</v>
      </c>
    </row>
    <row r="15" spans="1:13" x14ac:dyDescent="0.35">
      <c r="A15" s="55">
        <v>8</v>
      </c>
      <c r="B15" s="946" t="s">
        <v>13</v>
      </c>
      <c r="C15" s="946"/>
      <c r="D15" s="946"/>
      <c r="E15" s="946"/>
      <c r="F15" s="946"/>
      <c r="G15" s="1021">
        <v>2</v>
      </c>
      <c r="H15" s="1022"/>
      <c r="I15" s="235">
        <v>2.33</v>
      </c>
      <c r="J15" s="962">
        <v>7</v>
      </c>
      <c r="K15" s="962"/>
      <c r="L15" s="3">
        <f t="shared" si="4"/>
        <v>14</v>
      </c>
    </row>
    <row r="16" spans="1:13" ht="24.75" customHeight="1" x14ac:dyDescent="0.35">
      <c r="A16" s="55">
        <f t="shared" si="2"/>
        <v>9</v>
      </c>
      <c r="B16" s="1031" t="s">
        <v>93</v>
      </c>
      <c r="C16" s="1031"/>
      <c r="D16" s="1031"/>
      <c r="E16" s="1031"/>
      <c r="F16" s="1031"/>
      <c r="G16" s="1021">
        <v>2</v>
      </c>
      <c r="H16" s="1022"/>
      <c r="I16" s="235">
        <v>4.37</v>
      </c>
      <c r="J16" s="1022">
        <v>13</v>
      </c>
      <c r="K16" s="1022"/>
      <c r="L16" s="3">
        <f t="shared" si="1"/>
        <v>26</v>
      </c>
    </row>
    <row r="17" spans="1:12" ht="19.5" customHeight="1" x14ac:dyDescent="0.35">
      <c r="A17" s="55">
        <f t="shared" si="2"/>
        <v>10</v>
      </c>
      <c r="B17" s="1031" t="s">
        <v>94</v>
      </c>
      <c r="C17" s="1031"/>
      <c r="D17" s="1031"/>
      <c r="E17" s="1031"/>
      <c r="F17" s="1031"/>
      <c r="G17" s="1021">
        <v>1</v>
      </c>
      <c r="H17" s="1022"/>
      <c r="I17" s="235">
        <v>2.08</v>
      </c>
      <c r="J17" s="962">
        <v>7</v>
      </c>
      <c r="K17" s="962"/>
      <c r="L17" s="3">
        <f t="shared" si="1"/>
        <v>7</v>
      </c>
    </row>
    <row r="18" spans="1:12" ht="18" customHeight="1" x14ac:dyDescent="0.35">
      <c r="A18" s="55">
        <f t="shared" si="2"/>
        <v>11</v>
      </c>
      <c r="B18" s="1031" t="s">
        <v>14</v>
      </c>
      <c r="C18" s="1031"/>
      <c r="D18" s="1031"/>
      <c r="E18" s="1031"/>
      <c r="F18" s="1031"/>
      <c r="G18" s="1021">
        <v>1</v>
      </c>
      <c r="H18" s="1022"/>
      <c r="I18" s="235">
        <v>2.08</v>
      </c>
      <c r="J18" s="962">
        <v>7</v>
      </c>
      <c r="K18" s="962"/>
      <c r="L18" s="3">
        <f t="shared" ref="L18" si="5">J18*G18</f>
        <v>7</v>
      </c>
    </row>
    <row r="19" spans="1:12" ht="17.25" customHeight="1" x14ac:dyDescent="0.35">
      <c r="A19" s="55">
        <f t="shared" si="2"/>
        <v>12</v>
      </c>
      <c r="B19" s="1027" t="s">
        <v>92</v>
      </c>
      <c r="C19" s="1028"/>
      <c r="D19" s="1028"/>
      <c r="E19" s="1028"/>
      <c r="F19" s="1029"/>
      <c r="G19" s="1030">
        <v>1</v>
      </c>
      <c r="H19" s="1021"/>
      <c r="I19" s="235">
        <v>2.66</v>
      </c>
      <c r="J19" s="962">
        <v>9</v>
      </c>
      <c r="K19" s="962"/>
      <c r="L19" s="3">
        <f t="shared" si="1"/>
        <v>9</v>
      </c>
    </row>
    <row r="20" spans="1:12" x14ac:dyDescent="0.35">
      <c r="A20" s="55">
        <f t="shared" si="2"/>
        <v>13</v>
      </c>
      <c r="B20" s="1027" t="s">
        <v>96</v>
      </c>
      <c r="C20" s="1028"/>
      <c r="D20" s="1028"/>
      <c r="E20" s="1028"/>
      <c r="F20" s="1029"/>
      <c r="G20" s="1030">
        <v>0.5</v>
      </c>
      <c r="H20" s="1021"/>
      <c r="I20" s="236">
        <v>1.84</v>
      </c>
      <c r="J20" s="962">
        <v>6</v>
      </c>
      <c r="K20" s="962"/>
      <c r="L20" s="3">
        <f t="shared" si="1"/>
        <v>3</v>
      </c>
    </row>
    <row r="21" spans="1:12" x14ac:dyDescent="0.35">
      <c r="A21" s="55">
        <f t="shared" si="2"/>
        <v>14</v>
      </c>
      <c r="B21" s="1026" t="s">
        <v>97</v>
      </c>
      <c r="C21" s="1026"/>
      <c r="D21" s="1026"/>
      <c r="E21" s="1026"/>
      <c r="F21" s="1026"/>
      <c r="G21" s="1021">
        <v>0.5</v>
      </c>
      <c r="H21" s="1022"/>
      <c r="I21" s="236">
        <v>1.28</v>
      </c>
      <c r="J21" s="962">
        <v>3</v>
      </c>
      <c r="K21" s="962"/>
      <c r="L21" s="3">
        <f t="shared" si="1"/>
        <v>1.5</v>
      </c>
    </row>
    <row r="22" spans="1:12" x14ac:dyDescent="0.35">
      <c r="A22" s="55">
        <f t="shared" si="2"/>
        <v>15</v>
      </c>
      <c r="B22" s="1026" t="s">
        <v>1257</v>
      </c>
      <c r="C22" s="1026"/>
      <c r="D22" s="1026"/>
      <c r="E22" s="1026"/>
      <c r="F22" s="1026"/>
      <c r="G22" s="1021">
        <v>1</v>
      </c>
      <c r="H22" s="1022"/>
      <c r="I22" s="236">
        <v>1.28</v>
      </c>
      <c r="J22" s="962">
        <v>3</v>
      </c>
      <c r="K22" s="962"/>
      <c r="L22" s="3">
        <f t="shared" si="1"/>
        <v>3</v>
      </c>
    </row>
    <row r="23" spans="1:12" ht="15" thickBot="1" x14ac:dyDescent="0.4">
      <c r="A23" s="731">
        <v>16</v>
      </c>
      <c r="B23" s="1026" t="s">
        <v>1338</v>
      </c>
      <c r="C23" s="1026"/>
      <c r="D23" s="1026"/>
      <c r="E23" s="1026"/>
      <c r="F23" s="1026"/>
      <c r="G23" s="1021">
        <v>1</v>
      </c>
      <c r="H23" s="1022"/>
      <c r="I23" s="684">
        <v>2.33</v>
      </c>
      <c r="J23" s="962">
        <v>7</v>
      </c>
      <c r="K23" s="962"/>
      <c r="L23" s="3">
        <f t="shared" si="1"/>
        <v>7</v>
      </c>
    </row>
    <row r="24" spans="1:12" ht="15" thickBot="1" x14ac:dyDescent="0.4">
      <c r="A24" s="986" t="s">
        <v>15</v>
      </c>
      <c r="B24" s="1008"/>
      <c r="C24" s="1008"/>
      <c r="D24" s="1008"/>
      <c r="E24" s="1008"/>
      <c r="F24" s="1009"/>
      <c r="G24" s="1010">
        <f>SUM(G8:G23)</f>
        <v>17</v>
      </c>
      <c r="H24" s="1011"/>
      <c r="I24" s="242"/>
      <c r="J24" s="1012"/>
      <c r="K24" s="1013"/>
      <c r="L24" s="35">
        <f>SUM(L8:L23)</f>
        <v>159.5</v>
      </c>
    </row>
    <row r="25" spans="1:12" ht="15" thickBot="1" x14ac:dyDescent="0.4">
      <c r="A25" s="58"/>
      <c r="B25" s="59"/>
      <c r="C25" s="59"/>
      <c r="D25" s="59"/>
      <c r="E25" s="59"/>
      <c r="F25" s="59"/>
      <c r="G25" s="60"/>
      <c r="H25" s="60"/>
      <c r="I25" s="4"/>
      <c r="J25" s="8"/>
      <c r="K25" s="8"/>
      <c r="L25" s="5"/>
    </row>
    <row r="26" spans="1:12" x14ac:dyDescent="0.35">
      <c r="A26" s="1023" t="s">
        <v>16</v>
      </c>
      <c r="B26" s="1024"/>
      <c r="C26" s="1024"/>
      <c r="D26" s="1024"/>
      <c r="E26" s="1024"/>
      <c r="F26" s="1024"/>
      <c r="G26" s="1024"/>
      <c r="H26" s="1024"/>
      <c r="I26" s="1024"/>
      <c r="J26" s="1024"/>
      <c r="K26" s="1024"/>
      <c r="L26" s="1025"/>
    </row>
    <row r="27" spans="1:12" ht="20.5" customHeight="1" x14ac:dyDescent="0.35">
      <c r="A27" s="241">
        <v>1</v>
      </c>
      <c r="B27" s="681" t="s">
        <v>1443</v>
      </c>
      <c r="C27" s="682"/>
      <c r="D27" s="682"/>
      <c r="E27" s="682"/>
      <c r="F27" s="683"/>
      <c r="G27" s="1019">
        <v>1</v>
      </c>
      <c r="H27" s="1020"/>
      <c r="I27" s="685">
        <v>2.35</v>
      </c>
      <c r="J27" s="980">
        <v>8</v>
      </c>
      <c r="K27" s="1006"/>
      <c r="L27" s="12">
        <f>J27*G27</f>
        <v>8</v>
      </c>
    </row>
    <row r="28" spans="1:12" ht="14" customHeight="1" x14ac:dyDescent="0.35">
      <c r="A28" s="241">
        <v>2</v>
      </c>
      <c r="B28" s="970" t="s">
        <v>85</v>
      </c>
      <c r="C28" s="971"/>
      <c r="D28" s="971"/>
      <c r="E28" s="971"/>
      <c r="F28" s="1007"/>
      <c r="G28" s="1019">
        <v>1</v>
      </c>
      <c r="H28" s="1020"/>
      <c r="I28" s="46">
        <v>2.08</v>
      </c>
      <c r="J28" s="46"/>
      <c r="K28" s="46">
        <v>7</v>
      </c>
      <c r="L28" s="10">
        <v>7</v>
      </c>
    </row>
    <row r="29" spans="1:12" ht="14.5" customHeight="1" x14ac:dyDescent="0.35">
      <c r="A29" s="55">
        <v>3</v>
      </c>
      <c r="B29" s="1016" t="s">
        <v>95</v>
      </c>
      <c r="C29" s="1017"/>
      <c r="D29" s="1017"/>
      <c r="E29" s="1017"/>
      <c r="F29" s="1018"/>
      <c r="G29" s="1019">
        <v>1</v>
      </c>
      <c r="H29" s="1020"/>
      <c r="I29" s="47">
        <v>2.35</v>
      </c>
      <c r="J29" s="980">
        <v>8</v>
      </c>
      <c r="K29" s="1006"/>
      <c r="L29" s="10">
        <f>J29*G29</f>
        <v>8</v>
      </c>
    </row>
    <row r="30" spans="1:12" ht="14.5" customHeight="1" x14ac:dyDescent="0.35">
      <c r="A30" s="54">
        <v>4</v>
      </c>
      <c r="B30" s="1016" t="s">
        <v>106</v>
      </c>
      <c r="C30" s="1017"/>
      <c r="D30" s="1017"/>
      <c r="E30" s="1017"/>
      <c r="F30" s="1018"/>
      <c r="G30" s="1019">
        <v>2</v>
      </c>
      <c r="H30" s="1020"/>
      <c r="I30" s="9">
        <v>1.44</v>
      </c>
      <c r="J30" s="980">
        <v>4</v>
      </c>
      <c r="K30" s="1006"/>
      <c r="L30" s="10">
        <v>4</v>
      </c>
    </row>
    <row r="31" spans="1:12" x14ac:dyDescent="0.35">
      <c r="A31" s="55">
        <v>5</v>
      </c>
      <c r="B31" s="686" t="s">
        <v>98</v>
      </c>
      <c r="C31" s="687"/>
      <c r="D31" s="687"/>
      <c r="E31" s="687"/>
      <c r="F31" s="688"/>
      <c r="G31" s="1019">
        <v>1</v>
      </c>
      <c r="H31" s="1020"/>
      <c r="I31" s="685">
        <v>2.35</v>
      </c>
      <c r="J31" s="980">
        <v>8</v>
      </c>
      <c r="K31" s="1006"/>
      <c r="L31" s="12">
        <f>J31*G31</f>
        <v>8</v>
      </c>
    </row>
    <row r="32" spans="1:12" x14ac:dyDescent="0.35">
      <c r="A32" s="55">
        <v>6</v>
      </c>
      <c r="B32" s="1050" t="s">
        <v>99</v>
      </c>
      <c r="C32" s="1051"/>
      <c r="D32" s="1051"/>
      <c r="E32" s="1051"/>
      <c r="F32" s="1052"/>
      <c r="G32" s="1019">
        <v>1</v>
      </c>
      <c r="H32" s="1020"/>
      <c r="I32" s="685">
        <v>2.35</v>
      </c>
      <c r="J32" s="980">
        <v>8</v>
      </c>
      <c r="K32" s="1006"/>
      <c r="L32" s="12">
        <f>J32*G32</f>
        <v>8</v>
      </c>
    </row>
    <row r="33" spans="1:12" x14ac:dyDescent="0.35">
      <c r="A33" s="55">
        <v>7</v>
      </c>
      <c r="B33" s="970" t="s">
        <v>1340</v>
      </c>
      <c r="C33" s="971"/>
      <c r="D33" s="971"/>
      <c r="E33" s="971"/>
      <c r="F33" s="1007"/>
      <c r="G33" s="1019">
        <v>1</v>
      </c>
      <c r="H33" s="1020"/>
      <c r="I33" s="685">
        <v>2.35</v>
      </c>
      <c r="J33" s="962">
        <v>8</v>
      </c>
      <c r="K33" s="980"/>
      <c r="L33" s="12">
        <f>J33*G33</f>
        <v>8</v>
      </c>
    </row>
    <row r="34" spans="1:12" ht="15" thickBot="1" x14ac:dyDescent="0.4">
      <c r="A34" s="55">
        <v>8</v>
      </c>
      <c r="B34" s="56" t="s">
        <v>86</v>
      </c>
      <c r="C34" s="57"/>
      <c r="D34" s="57"/>
      <c r="E34" s="57"/>
      <c r="F34" s="40"/>
      <c r="G34" s="1058">
        <v>4</v>
      </c>
      <c r="H34" s="1059"/>
      <c r="I34" s="237">
        <v>2.35</v>
      </c>
      <c r="J34" s="962">
        <v>8</v>
      </c>
      <c r="K34" s="980"/>
      <c r="L34" s="12">
        <f>J34*G34</f>
        <v>32</v>
      </c>
    </row>
    <row r="35" spans="1:12" ht="15" thickBot="1" x14ac:dyDescent="0.4">
      <c r="A35" s="986" t="s">
        <v>15</v>
      </c>
      <c r="B35" s="987"/>
      <c r="C35" s="987"/>
      <c r="D35" s="987"/>
      <c r="E35" s="987"/>
      <c r="F35" s="987"/>
      <c r="G35" s="972">
        <f>SUM(G27:G34)</f>
        <v>12</v>
      </c>
      <c r="H35" s="1014"/>
      <c r="I35" s="238"/>
      <c r="J35" s="1015"/>
      <c r="K35" s="1015"/>
      <c r="L35" s="5">
        <f>SUM(L27:L34)</f>
        <v>83</v>
      </c>
    </row>
    <row r="36" spans="1:12" ht="15" thickBot="1" x14ac:dyDescent="0.4">
      <c r="A36" s="6"/>
      <c r="B36" s="7"/>
      <c r="C36" s="7"/>
      <c r="D36" s="7"/>
      <c r="E36" s="7"/>
      <c r="F36" s="7"/>
      <c r="G36" s="14"/>
      <c r="H36" s="14"/>
      <c r="I36" s="14"/>
      <c r="J36" s="15"/>
      <c r="K36" s="15"/>
      <c r="L36" s="16"/>
    </row>
    <row r="37" spans="1:12" ht="15" thickBot="1" x14ac:dyDescent="0.4">
      <c r="A37" s="994" t="s">
        <v>18</v>
      </c>
      <c r="B37" s="995"/>
      <c r="C37" s="995"/>
      <c r="D37" s="995"/>
      <c r="E37" s="995"/>
      <c r="F37" s="995"/>
      <c r="G37" s="995"/>
      <c r="H37" s="995"/>
      <c r="I37" s="995"/>
      <c r="J37" s="995"/>
      <c r="K37" s="995"/>
      <c r="L37" s="996"/>
    </row>
    <row r="38" spans="1:12" ht="19.5" customHeight="1" x14ac:dyDescent="0.35">
      <c r="A38" s="2">
        <v>1</v>
      </c>
      <c r="B38" s="1053" t="s">
        <v>100</v>
      </c>
      <c r="C38" s="1054"/>
      <c r="D38" s="1054"/>
      <c r="E38" s="1054"/>
      <c r="F38" s="1055"/>
      <c r="G38" s="1056">
        <v>2</v>
      </c>
      <c r="H38" s="1057"/>
      <c r="I38" s="17">
        <v>1.1299999999999999</v>
      </c>
      <c r="J38" s="962">
        <v>2</v>
      </c>
      <c r="K38" s="980"/>
      <c r="L38" s="3">
        <f>J38*G38</f>
        <v>4</v>
      </c>
    </row>
    <row r="39" spans="1:12" ht="15" customHeight="1" x14ac:dyDescent="0.35">
      <c r="A39" s="2">
        <v>2</v>
      </c>
      <c r="B39" s="1001" t="s">
        <v>101</v>
      </c>
      <c r="C39" s="1002"/>
      <c r="D39" s="1002"/>
      <c r="E39" s="1002"/>
      <c r="F39" s="1003"/>
      <c r="G39" s="1004">
        <v>3</v>
      </c>
      <c r="H39" s="1005"/>
      <c r="I39" s="17">
        <v>1.28</v>
      </c>
      <c r="J39" s="980">
        <v>3</v>
      </c>
      <c r="K39" s="1006"/>
      <c r="L39" s="3">
        <f>J39*G39</f>
        <v>9</v>
      </c>
    </row>
    <row r="40" spans="1:12" ht="15" customHeight="1" x14ac:dyDescent="0.35">
      <c r="A40" s="777">
        <v>3</v>
      </c>
      <c r="B40" s="1001" t="s">
        <v>102</v>
      </c>
      <c r="C40" s="1002"/>
      <c r="D40" s="1002"/>
      <c r="E40" s="1002"/>
      <c r="F40" s="1003"/>
      <c r="G40" s="1004">
        <v>5</v>
      </c>
      <c r="H40" s="1005"/>
      <c r="I40" s="17">
        <v>1.44</v>
      </c>
      <c r="J40" s="980">
        <v>4</v>
      </c>
      <c r="K40" s="1006"/>
      <c r="L40" s="3">
        <f t="shared" ref="L40:L43" si="6">G40*J40</f>
        <v>20</v>
      </c>
    </row>
    <row r="41" spans="1:12" ht="23" customHeight="1" x14ac:dyDescent="0.35">
      <c r="A41" s="777">
        <v>4</v>
      </c>
      <c r="B41" s="1001" t="s">
        <v>1444</v>
      </c>
      <c r="C41" s="1002"/>
      <c r="D41" s="1002"/>
      <c r="E41" s="1002"/>
      <c r="F41" s="1003"/>
      <c r="G41" s="1004">
        <v>2</v>
      </c>
      <c r="H41" s="1005"/>
      <c r="I41" s="17">
        <v>1.28</v>
      </c>
      <c r="J41" s="980">
        <v>3</v>
      </c>
      <c r="K41" s="1006"/>
      <c r="L41" s="3">
        <f t="shared" si="6"/>
        <v>6</v>
      </c>
    </row>
    <row r="42" spans="1:12" ht="23" customHeight="1" x14ac:dyDescent="0.35">
      <c r="A42" s="777">
        <v>5</v>
      </c>
      <c r="B42" s="1001" t="s">
        <v>1445</v>
      </c>
      <c r="C42" s="1002"/>
      <c r="D42" s="1002"/>
      <c r="E42" s="1002"/>
      <c r="F42" s="1003"/>
      <c r="G42" s="960">
        <v>8</v>
      </c>
      <c r="H42" s="961"/>
      <c r="I42" s="17">
        <v>1.44</v>
      </c>
      <c r="J42" s="980">
        <v>4</v>
      </c>
      <c r="K42" s="1006"/>
      <c r="L42" s="3">
        <f t="shared" si="6"/>
        <v>32</v>
      </c>
    </row>
    <row r="43" spans="1:12" ht="22.5" customHeight="1" x14ac:dyDescent="0.35">
      <c r="A43" s="777">
        <v>6</v>
      </c>
      <c r="B43" s="1001" t="s">
        <v>103</v>
      </c>
      <c r="C43" s="1002"/>
      <c r="D43" s="1002"/>
      <c r="E43" s="1002"/>
      <c r="F43" s="1003"/>
      <c r="G43" s="960">
        <v>2</v>
      </c>
      <c r="H43" s="961"/>
      <c r="I43" s="17">
        <v>1.28</v>
      </c>
      <c r="J43" s="980">
        <v>3</v>
      </c>
      <c r="K43" s="1006"/>
      <c r="L43" s="3">
        <f t="shared" si="6"/>
        <v>6</v>
      </c>
    </row>
    <row r="44" spans="1:12" ht="21" customHeight="1" x14ac:dyDescent="0.35">
      <c r="A44" s="777">
        <v>7</v>
      </c>
      <c r="B44" s="1001" t="s">
        <v>104</v>
      </c>
      <c r="C44" s="1002"/>
      <c r="D44" s="1002"/>
      <c r="E44" s="1002"/>
      <c r="F44" s="1003"/>
      <c r="G44" s="960">
        <v>4</v>
      </c>
      <c r="H44" s="961"/>
      <c r="I44" s="17">
        <v>1.44</v>
      </c>
      <c r="J44" s="980">
        <v>4</v>
      </c>
      <c r="K44" s="1006"/>
      <c r="L44" s="3">
        <f>G44*J44</f>
        <v>16</v>
      </c>
    </row>
    <row r="45" spans="1:12" ht="21" customHeight="1" x14ac:dyDescent="0.35">
      <c r="A45" s="777">
        <v>8</v>
      </c>
      <c r="B45" s="1001" t="s">
        <v>107</v>
      </c>
      <c r="C45" s="1002"/>
      <c r="D45" s="1002"/>
      <c r="E45" s="1002"/>
      <c r="F45" s="1003"/>
      <c r="G45" s="960">
        <v>2</v>
      </c>
      <c r="H45" s="961"/>
      <c r="I45" s="17">
        <v>1.63</v>
      </c>
      <c r="J45" s="980">
        <v>5</v>
      </c>
      <c r="K45" s="1006"/>
      <c r="L45" s="3">
        <f>G45*J45</f>
        <v>10</v>
      </c>
    </row>
    <row r="46" spans="1:12" ht="15" customHeight="1" x14ac:dyDescent="0.35">
      <c r="A46" s="777">
        <v>9</v>
      </c>
      <c r="B46" s="253" t="s">
        <v>1446</v>
      </c>
      <c r="C46" s="257"/>
      <c r="D46" s="257"/>
      <c r="E46" s="257"/>
      <c r="F46" s="258"/>
      <c r="G46" s="960">
        <v>1</v>
      </c>
      <c r="H46" s="961"/>
      <c r="I46" s="17">
        <v>1.28</v>
      </c>
      <c r="J46" s="255"/>
      <c r="K46" s="280">
        <v>3</v>
      </c>
      <c r="L46" s="3">
        <f>G46*K46</f>
        <v>3</v>
      </c>
    </row>
    <row r="47" spans="1:12" ht="14" customHeight="1" x14ac:dyDescent="0.35">
      <c r="A47" s="777">
        <v>10</v>
      </c>
      <c r="B47" s="759" t="s">
        <v>1447</v>
      </c>
      <c r="C47" s="763"/>
      <c r="D47" s="763"/>
      <c r="E47" s="763"/>
      <c r="F47" s="764"/>
      <c r="G47" s="960">
        <v>2</v>
      </c>
      <c r="H47" s="961"/>
      <c r="I47" s="17">
        <v>1.44</v>
      </c>
      <c r="J47" s="761"/>
      <c r="K47" s="280">
        <v>4</v>
      </c>
      <c r="L47" s="3">
        <f>G47*K47</f>
        <v>8</v>
      </c>
    </row>
    <row r="48" spans="1:12" ht="15.75" customHeight="1" x14ac:dyDescent="0.35">
      <c r="A48" s="777">
        <v>11</v>
      </c>
      <c r="B48" s="759" t="s">
        <v>1448</v>
      </c>
      <c r="C48" s="257"/>
      <c r="D48" s="257"/>
      <c r="E48" s="257"/>
      <c r="F48" s="258"/>
      <c r="G48" s="960">
        <v>4</v>
      </c>
      <c r="H48" s="961"/>
      <c r="I48" s="17">
        <v>1.07</v>
      </c>
      <c r="J48" s="255"/>
      <c r="K48" s="280">
        <v>2</v>
      </c>
      <c r="L48" s="3">
        <f>G48*K48</f>
        <v>8</v>
      </c>
    </row>
    <row r="49" spans="1:12" ht="15" thickBot="1" x14ac:dyDescent="0.4">
      <c r="A49" s="777">
        <v>12</v>
      </c>
      <c r="B49" s="970" t="s">
        <v>19</v>
      </c>
      <c r="C49" s="971"/>
      <c r="D49" s="971"/>
      <c r="E49" s="971"/>
      <c r="F49" s="1007"/>
      <c r="G49" s="281">
        <v>2</v>
      </c>
      <c r="H49" s="282"/>
      <c r="I49" s="11">
        <v>1.44</v>
      </c>
      <c r="J49" s="962">
        <v>4</v>
      </c>
      <c r="K49" s="980"/>
      <c r="L49" s="3">
        <f t="shared" ref="L49" si="7">J49*G49</f>
        <v>8</v>
      </c>
    </row>
    <row r="50" spans="1:12" ht="15" thickBot="1" x14ac:dyDescent="0.4">
      <c r="A50" s="955" t="s">
        <v>15</v>
      </c>
      <c r="B50" s="956"/>
      <c r="C50" s="956"/>
      <c r="D50" s="956"/>
      <c r="E50" s="956"/>
      <c r="F50" s="956"/>
      <c r="G50" s="994">
        <f>SUM(G38:G49)</f>
        <v>37</v>
      </c>
      <c r="H50" s="996"/>
      <c r="I50" s="13"/>
      <c r="J50" s="981"/>
      <c r="K50" s="982"/>
      <c r="L50" s="5">
        <f>SUM(L38:L49)</f>
        <v>130</v>
      </c>
    </row>
    <row r="51" spans="1:12" ht="15" thickBot="1" x14ac:dyDescent="0.4">
      <c r="A51" s="733"/>
      <c r="B51" s="734"/>
      <c r="C51" s="734"/>
      <c r="D51" s="734"/>
      <c r="E51" s="734"/>
      <c r="F51" s="734"/>
      <c r="G51" s="691"/>
      <c r="H51" s="691"/>
      <c r="I51" s="691"/>
      <c r="J51" s="690"/>
      <c r="K51" s="690"/>
      <c r="L51" s="16"/>
    </row>
    <row r="52" spans="1:12" ht="17" customHeight="1" thickBot="1" x14ac:dyDescent="0.4">
      <c r="A52" s="1047" t="s">
        <v>1343</v>
      </c>
      <c r="B52" s="1048"/>
      <c r="C52" s="1048"/>
      <c r="D52" s="1048"/>
      <c r="E52" s="1048"/>
      <c r="F52" s="1048"/>
      <c r="G52" s="1048"/>
      <c r="H52" s="1048"/>
      <c r="I52" s="1048"/>
      <c r="J52" s="1048"/>
      <c r="K52" s="1048"/>
      <c r="L52" s="1049"/>
    </row>
    <row r="53" spans="1:12" ht="25.5" customHeight="1" thickBot="1" x14ac:dyDescent="0.4">
      <c r="A53" s="735">
        <v>1</v>
      </c>
      <c r="B53" s="1041" t="s">
        <v>1449</v>
      </c>
      <c r="C53" s="1042"/>
      <c r="D53" s="1042"/>
      <c r="E53" s="1042"/>
      <c r="F53" s="1042"/>
      <c r="G53" s="1043">
        <v>4</v>
      </c>
      <c r="H53" s="1044"/>
      <c r="I53" s="736">
        <v>1.44</v>
      </c>
      <c r="J53" s="1045">
        <v>4</v>
      </c>
      <c r="K53" s="1046"/>
      <c r="L53" s="737">
        <f t="shared" ref="L53" si="8">G53*J53</f>
        <v>16</v>
      </c>
    </row>
    <row r="54" spans="1:12" ht="15" thickBot="1" x14ac:dyDescent="0.4">
      <c r="A54" s="955" t="s">
        <v>15</v>
      </c>
      <c r="B54" s="956"/>
      <c r="C54" s="956"/>
      <c r="D54" s="956"/>
      <c r="E54" s="956"/>
      <c r="F54" s="956"/>
      <c r="G54" s="994">
        <v>4</v>
      </c>
      <c r="H54" s="996"/>
      <c r="I54" s="689"/>
      <c r="J54" s="981"/>
      <c r="K54" s="982"/>
      <c r="L54" s="5">
        <v>16</v>
      </c>
    </row>
    <row r="55" spans="1:12" ht="15" thickBot="1" x14ac:dyDescent="0.4">
      <c r="A55" s="994"/>
      <c r="B55" s="995"/>
      <c r="C55" s="995"/>
      <c r="D55" s="995"/>
      <c r="E55" s="995"/>
      <c r="F55" s="995"/>
      <c r="G55" s="14"/>
      <c r="H55" s="14"/>
      <c r="I55" s="14"/>
      <c r="J55" s="15"/>
      <c r="K55" s="15"/>
      <c r="L55" s="16"/>
    </row>
    <row r="56" spans="1:12" ht="15" thickBot="1" x14ac:dyDescent="0.4">
      <c r="A56" s="994" t="s">
        <v>20</v>
      </c>
      <c r="B56" s="995"/>
      <c r="C56" s="995"/>
      <c r="D56" s="995"/>
      <c r="E56" s="995"/>
      <c r="F56" s="995"/>
      <c r="G56" s="995"/>
      <c r="H56" s="995"/>
      <c r="I56" s="995"/>
      <c r="J56" s="995"/>
      <c r="K56" s="995"/>
      <c r="L56" s="996"/>
    </row>
    <row r="57" spans="1:12" x14ac:dyDescent="0.35">
      <c r="A57" s="243">
        <v>1</v>
      </c>
      <c r="B57" s="999" t="s">
        <v>108</v>
      </c>
      <c r="C57" s="1000"/>
      <c r="D57" s="1000"/>
      <c r="E57" s="1000"/>
      <c r="F57" s="48"/>
      <c r="G57" s="997">
        <v>1</v>
      </c>
      <c r="H57" s="998"/>
      <c r="I57" s="244">
        <v>1.28</v>
      </c>
      <c r="J57" s="968">
        <v>3</v>
      </c>
      <c r="K57" s="969"/>
      <c r="L57" s="245">
        <f t="shared" ref="L57:L70" si="9">J57*G57</f>
        <v>3</v>
      </c>
    </row>
    <row r="58" spans="1:12" x14ac:dyDescent="0.35">
      <c r="A58" s="55">
        <v>2</v>
      </c>
      <c r="B58" s="970" t="s">
        <v>21</v>
      </c>
      <c r="C58" s="971"/>
      <c r="D58" s="971"/>
      <c r="E58" s="971"/>
      <c r="F58" s="49"/>
      <c r="G58" s="960">
        <v>1</v>
      </c>
      <c r="H58" s="961"/>
      <c r="I58" s="46">
        <v>1.28</v>
      </c>
      <c r="J58" s="962">
        <v>3</v>
      </c>
      <c r="K58" s="980"/>
      <c r="L58" s="3">
        <f t="shared" si="9"/>
        <v>3</v>
      </c>
    </row>
    <row r="59" spans="1:12" x14ac:dyDescent="0.35">
      <c r="A59" s="55">
        <v>3</v>
      </c>
      <c r="B59" s="970" t="s">
        <v>1104</v>
      </c>
      <c r="C59" s="971"/>
      <c r="D59" s="971"/>
      <c r="E59" s="971"/>
      <c r="F59" s="49"/>
      <c r="G59" s="960">
        <v>1</v>
      </c>
      <c r="H59" s="961"/>
      <c r="I59" s="46">
        <v>1.63</v>
      </c>
      <c r="J59" s="962">
        <v>5</v>
      </c>
      <c r="K59" s="980"/>
      <c r="L59" s="3">
        <f t="shared" si="9"/>
        <v>5</v>
      </c>
    </row>
    <row r="60" spans="1:12" x14ac:dyDescent="0.35">
      <c r="A60" s="55">
        <v>4</v>
      </c>
      <c r="B60" s="970" t="s">
        <v>1105</v>
      </c>
      <c r="C60" s="971"/>
      <c r="D60" s="971"/>
      <c r="E60" s="971"/>
      <c r="F60" s="49"/>
      <c r="G60" s="960">
        <v>1</v>
      </c>
      <c r="H60" s="961"/>
      <c r="I60" s="46">
        <v>1.63</v>
      </c>
      <c r="J60" s="962">
        <v>5</v>
      </c>
      <c r="K60" s="980"/>
      <c r="L60" s="3">
        <f t="shared" si="9"/>
        <v>5</v>
      </c>
    </row>
    <row r="61" spans="1:12" x14ac:dyDescent="0.35">
      <c r="A61" s="55">
        <v>5</v>
      </c>
      <c r="B61" s="970" t="s">
        <v>22</v>
      </c>
      <c r="C61" s="971"/>
      <c r="D61" s="971"/>
      <c r="E61" s="971"/>
      <c r="F61" s="49"/>
      <c r="G61" s="960">
        <v>1</v>
      </c>
      <c r="H61" s="961"/>
      <c r="I61" s="46">
        <v>1.44</v>
      </c>
      <c r="J61" s="962">
        <v>4</v>
      </c>
      <c r="K61" s="980"/>
      <c r="L61" s="3">
        <f t="shared" si="9"/>
        <v>4</v>
      </c>
    </row>
    <row r="62" spans="1:12" x14ac:dyDescent="0.35">
      <c r="A62" s="55">
        <v>6</v>
      </c>
      <c r="B62" s="970" t="s">
        <v>1341</v>
      </c>
      <c r="C62" s="971"/>
      <c r="D62" s="971"/>
      <c r="E62" s="971"/>
      <c r="F62" s="49"/>
      <c r="G62" s="960">
        <v>3</v>
      </c>
      <c r="H62" s="961"/>
      <c r="I62" s="46">
        <v>1.44</v>
      </c>
      <c r="J62" s="962">
        <v>4</v>
      </c>
      <c r="K62" s="962"/>
      <c r="L62" s="3">
        <f t="shared" si="9"/>
        <v>12</v>
      </c>
    </row>
    <row r="63" spans="1:12" x14ac:dyDescent="0.35">
      <c r="A63" s="55">
        <v>7</v>
      </c>
      <c r="B63" s="970" t="s">
        <v>1106</v>
      </c>
      <c r="C63" s="971"/>
      <c r="D63" s="971"/>
      <c r="E63" s="971"/>
      <c r="F63" s="49"/>
      <c r="G63" s="960">
        <v>1</v>
      </c>
      <c r="H63" s="961"/>
      <c r="I63" s="46">
        <v>1.63</v>
      </c>
      <c r="J63" s="962">
        <v>5</v>
      </c>
      <c r="K63" s="962"/>
      <c r="L63" s="3">
        <f t="shared" si="9"/>
        <v>5</v>
      </c>
    </row>
    <row r="64" spans="1:12" x14ac:dyDescent="0.35">
      <c r="A64" s="55">
        <v>8</v>
      </c>
      <c r="B64" s="970" t="s">
        <v>23</v>
      </c>
      <c r="C64" s="971"/>
      <c r="D64" s="971"/>
      <c r="E64" s="971"/>
      <c r="F64" s="49"/>
      <c r="G64" s="960">
        <v>1</v>
      </c>
      <c r="H64" s="961"/>
      <c r="I64" s="46">
        <v>1.44</v>
      </c>
      <c r="J64" s="962">
        <v>4</v>
      </c>
      <c r="K64" s="962"/>
      <c r="L64" s="3">
        <f t="shared" si="9"/>
        <v>4</v>
      </c>
    </row>
    <row r="65" spans="1:12" x14ac:dyDescent="0.35">
      <c r="A65" s="55">
        <v>9</v>
      </c>
      <c r="B65" s="970" t="s">
        <v>24</v>
      </c>
      <c r="C65" s="971"/>
      <c r="D65" s="971"/>
      <c r="E65" s="971"/>
      <c r="F65" s="49"/>
      <c r="G65" s="960">
        <v>1</v>
      </c>
      <c r="H65" s="961"/>
      <c r="I65" s="46">
        <v>1.63</v>
      </c>
      <c r="J65" s="962">
        <v>5</v>
      </c>
      <c r="K65" s="962"/>
      <c r="L65" s="3">
        <f t="shared" si="9"/>
        <v>5</v>
      </c>
    </row>
    <row r="66" spans="1:12" x14ac:dyDescent="0.35">
      <c r="A66" s="55">
        <v>11</v>
      </c>
      <c r="B66" s="970" t="s">
        <v>889</v>
      </c>
      <c r="C66" s="971"/>
      <c r="D66" s="971"/>
      <c r="E66" s="971"/>
      <c r="F66" s="49"/>
      <c r="G66" s="960">
        <v>1</v>
      </c>
      <c r="H66" s="961"/>
      <c r="I66" s="46">
        <v>1.44</v>
      </c>
      <c r="J66" s="962">
        <v>4</v>
      </c>
      <c r="K66" s="962"/>
      <c r="L66" s="3">
        <f t="shared" ref="L66:L68" si="10">J66*G66</f>
        <v>4</v>
      </c>
    </row>
    <row r="67" spans="1:12" x14ac:dyDescent="0.35">
      <c r="A67" s="55">
        <v>14</v>
      </c>
      <c r="B67" s="970" t="s">
        <v>1339</v>
      </c>
      <c r="C67" s="971"/>
      <c r="D67" s="971"/>
      <c r="E67" s="971"/>
      <c r="F67" s="49"/>
      <c r="G67" s="960">
        <v>1</v>
      </c>
      <c r="H67" s="961"/>
      <c r="I67" s="46">
        <v>1.44</v>
      </c>
      <c r="J67" s="962">
        <v>4</v>
      </c>
      <c r="K67" s="962"/>
      <c r="L67" s="3">
        <f t="shared" si="10"/>
        <v>4</v>
      </c>
    </row>
    <row r="68" spans="1:12" x14ac:dyDescent="0.35">
      <c r="A68" s="55">
        <v>15</v>
      </c>
      <c r="B68" s="253" t="s">
        <v>890</v>
      </c>
      <c r="C68" s="254"/>
      <c r="D68" s="254"/>
      <c r="E68" s="254"/>
      <c r="F68" s="49"/>
      <c r="G68" s="960">
        <v>1</v>
      </c>
      <c r="H68" s="961"/>
      <c r="I68" s="46">
        <v>1.44</v>
      </c>
      <c r="J68" s="962">
        <v>4</v>
      </c>
      <c r="K68" s="962"/>
      <c r="L68" s="3">
        <f t="shared" si="10"/>
        <v>4</v>
      </c>
    </row>
    <row r="69" spans="1:12" x14ac:dyDescent="0.35">
      <c r="A69" s="55">
        <v>16</v>
      </c>
      <c r="B69" s="970" t="s">
        <v>1342</v>
      </c>
      <c r="C69" s="971"/>
      <c r="D69" s="971"/>
      <c r="E69" s="971"/>
      <c r="F69" s="49"/>
      <c r="G69" s="960">
        <v>3</v>
      </c>
      <c r="H69" s="961"/>
      <c r="I69" s="46">
        <v>1.44</v>
      </c>
      <c r="J69" s="962">
        <v>4</v>
      </c>
      <c r="K69" s="962"/>
      <c r="L69" s="3">
        <f t="shared" si="9"/>
        <v>12</v>
      </c>
    </row>
    <row r="70" spans="1:12" ht="15" thickBot="1" x14ac:dyDescent="0.4">
      <c r="A70" s="778">
        <v>17</v>
      </c>
      <c r="B70" s="965" t="s">
        <v>17</v>
      </c>
      <c r="C70" s="966"/>
      <c r="D70" s="966"/>
      <c r="E70" s="966"/>
      <c r="F70" s="967"/>
      <c r="G70" s="976">
        <v>1</v>
      </c>
      <c r="H70" s="977"/>
      <c r="I70" s="19">
        <v>2.66</v>
      </c>
      <c r="J70" s="978">
        <v>9</v>
      </c>
      <c r="K70" s="979"/>
      <c r="L70" s="3">
        <f t="shared" si="9"/>
        <v>9</v>
      </c>
    </row>
    <row r="71" spans="1:12" ht="15" thickBot="1" x14ac:dyDescent="0.4">
      <c r="A71" s="986" t="s">
        <v>15</v>
      </c>
      <c r="B71" s="987"/>
      <c r="C71" s="987"/>
      <c r="D71" s="987"/>
      <c r="E71" s="987"/>
      <c r="F71" s="987"/>
      <c r="G71" s="972">
        <f>SUM(G57:G70)</f>
        <v>18</v>
      </c>
      <c r="H71" s="973"/>
      <c r="I71" s="20"/>
      <c r="J71" s="974"/>
      <c r="K71" s="975"/>
      <c r="L71" s="21">
        <f>SUM(L57:L70)</f>
        <v>79</v>
      </c>
    </row>
    <row r="72" spans="1:12" ht="15" thickBot="1" x14ac:dyDescent="0.4">
      <c r="A72" s="958" t="s">
        <v>25</v>
      </c>
      <c r="B72" s="988"/>
      <c r="C72" s="988"/>
      <c r="D72" s="988"/>
      <c r="E72" s="988"/>
      <c r="F72" s="988"/>
      <c r="G72" s="988"/>
      <c r="H72" s="988"/>
      <c r="I72" s="989"/>
      <c r="J72" s="989"/>
      <c r="K72" s="989"/>
      <c r="L72" s="959"/>
    </row>
    <row r="73" spans="1:12" x14ac:dyDescent="0.35">
      <c r="A73" s="246" t="s">
        <v>26</v>
      </c>
      <c r="B73" s="990" t="s">
        <v>33</v>
      </c>
      <c r="C73" s="991"/>
      <c r="D73" s="991"/>
      <c r="E73" s="991"/>
      <c r="F73" s="992"/>
      <c r="G73" s="993">
        <v>1</v>
      </c>
      <c r="H73" s="993"/>
      <c r="I73" s="244">
        <v>1</v>
      </c>
      <c r="J73" s="968">
        <v>1</v>
      </c>
      <c r="K73" s="969"/>
      <c r="L73" s="245">
        <f>J73*G73</f>
        <v>1</v>
      </c>
    </row>
    <row r="74" spans="1:12" x14ac:dyDescent="0.35">
      <c r="A74" s="18" t="s">
        <v>28</v>
      </c>
      <c r="B74" s="983" t="s">
        <v>27</v>
      </c>
      <c r="C74" s="984"/>
      <c r="D74" s="984"/>
      <c r="E74" s="984"/>
      <c r="F74" s="49"/>
      <c r="G74" s="985">
        <v>2</v>
      </c>
      <c r="H74" s="985"/>
      <c r="I74" s="46">
        <v>1</v>
      </c>
      <c r="J74" s="962">
        <v>1</v>
      </c>
      <c r="K74" s="980"/>
      <c r="L74" s="3">
        <f>J74*G74</f>
        <v>2</v>
      </c>
    </row>
    <row r="75" spans="1:12" x14ac:dyDescent="0.35">
      <c r="A75" s="18" t="s">
        <v>30</v>
      </c>
      <c r="B75" s="970" t="s">
        <v>29</v>
      </c>
      <c r="C75" s="971"/>
      <c r="D75" s="971"/>
      <c r="E75" s="971"/>
      <c r="F75" s="49"/>
      <c r="G75" s="985">
        <v>1</v>
      </c>
      <c r="H75" s="985"/>
      <c r="I75" s="46">
        <v>1.1299999999999999</v>
      </c>
      <c r="J75" s="962">
        <v>2</v>
      </c>
      <c r="K75" s="980"/>
      <c r="L75" s="3">
        <f>J75*G75</f>
        <v>2</v>
      </c>
    </row>
    <row r="76" spans="1:12" ht="15" thickBot="1" x14ac:dyDescent="0.4">
      <c r="A76" s="247" t="s">
        <v>32</v>
      </c>
      <c r="B76" s="963" t="s">
        <v>31</v>
      </c>
      <c r="C76" s="964"/>
      <c r="D76" s="964"/>
      <c r="E76" s="964"/>
      <c r="F76" s="50"/>
      <c r="G76" s="953">
        <v>4</v>
      </c>
      <c r="H76" s="953"/>
      <c r="I76" s="19">
        <v>1</v>
      </c>
      <c r="J76" s="954">
        <v>1</v>
      </c>
      <c r="K76" s="954"/>
      <c r="L76" s="248">
        <f>J76*G76</f>
        <v>4</v>
      </c>
    </row>
    <row r="77" spans="1:12" ht="15" thickBot="1" x14ac:dyDescent="0.4">
      <c r="A77" s="955" t="s">
        <v>15</v>
      </c>
      <c r="B77" s="956"/>
      <c r="C77" s="956"/>
      <c r="D77" s="956"/>
      <c r="E77" s="956"/>
      <c r="F77" s="957"/>
      <c r="G77" s="958">
        <f>SUM(G73:G76)</f>
        <v>8</v>
      </c>
      <c r="H77" s="959"/>
      <c r="I77" s="20"/>
      <c r="J77" s="981"/>
      <c r="K77" s="982"/>
      <c r="L77" s="21">
        <f>SUM(L73:L76)</f>
        <v>9</v>
      </c>
    </row>
    <row r="78" spans="1:12" x14ac:dyDescent="0.35">
      <c r="A78" s="22"/>
      <c r="B78" s="951"/>
      <c r="C78" s="951"/>
      <c r="D78" s="951"/>
      <c r="E78" s="951"/>
      <c r="F78" s="951"/>
      <c r="G78" s="948"/>
      <c r="H78" s="948"/>
      <c r="I78" s="23"/>
      <c r="J78" s="949"/>
      <c r="K78" s="949"/>
      <c r="L78" s="24"/>
    </row>
    <row r="79" spans="1:12" x14ac:dyDescent="0.35">
      <c r="A79" s="25" t="s">
        <v>34</v>
      </c>
      <c r="B79" s="26"/>
      <c r="C79" s="26"/>
      <c r="D79" s="26"/>
      <c r="E79" s="26"/>
      <c r="F79" s="26"/>
      <c r="G79" s="950">
        <f>G24+G35+G50+G71+G77+G54</f>
        <v>96</v>
      </c>
      <c r="H79" s="950"/>
      <c r="I79" s="14"/>
      <c r="J79" s="949"/>
      <c r="K79" s="949"/>
      <c r="L79" s="27">
        <f>L77+L71+L50+L35+L24</f>
        <v>460.5</v>
      </c>
    </row>
    <row r="80" spans="1:12" ht="24" customHeight="1" x14ac:dyDescent="0.35">
      <c r="A80" s="952" t="s">
        <v>35</v>
      </c>
      <c r="B80" s="952"/>
      <c r="C80" s="952"/>
      <c r="D80" s="952"/>
      <c r="E80" s="952"/>
      <c r="F80" s="952"/>
      <c r="G80" s="952"/>
      <c r="H80" s="952"/>
      <c r="I80" s="952"/>
      <c r="J80" s="952"/>
      <c r="K80" s="952"/>
      <c r="L80" s="952"/>
    </row>
    <row r="81" spans="1:19" x14ac:dyDescent="0.35">
      <c r="A81" s="22"/>
      <c r="B81" s="947" t="s">
        <v>36</v>
      </c>
      <c r="C81" s="947"/>
      <c r="D81" s="947"/>
      <c r="E81" s="947"/>
      <c r="F81" s="947"/>
      <c r="G81" s="948"/>
      <c r="H81" s="948"/>
      <c r="I81" s="23"/>
      <c r="J81" s="949"/>
      <c r="K81" s="949"/>
      <c r="L81" s="24"/>
    </row>
    <row r="82" spans="1:19" x14ac:dyDescent="0.35">
      <c r="A82" s="22"/>
      <c r="B82" s="26"/>
      <c r="C82" s="26"/>
      <c r="D82" s="26"/>
      <c r="E82" s="28" t="s">
        <v>1450</v>
      </c>
      <c r="F82" s="403">
        <f>460.5/96</f>
        <v>4.796875</v>
      </c>
      <c r="G82" s="950"/>
      <c r="H82" s="950"/>
      <c r="I82" s="23"/>
      <c r="J82" s="949"/>
      <c r="K82" s="949"/>
      <c r="L82" s="24"/>
    </row>
    <row r="83" spans="1:19" x14ac:dyDescent="0.35">
      <c r="A83" s="22"/>
      <c r="B83" s="26" t="s">
        <v>37</v>
      </c>
      <c r="C83" s="26"/>
      <c r="D83" s="26"/>
      <c r="E83" s="26" t="s">
        <v>1469</v>
      </c>
      <c r="F83" s="26"/>
      <c r="G83" s="26"/>
      <c r="H83" s="26"/>
      <c r="I83" s="23"/>
      <c r="J83" s="949"/>
      <c r="K83" s="949"/>
      <c r="L83" s="24"/>
    </row>
    <row r="84" spans="1:19" ht="8.25" customHeight="1" x14ac:dyDescent="0.35">
      <c r="A84" s="29"/>
      <c r="B84" s="30"/>
      <c r="C84" s="30"/>
      <c r="D84" s="30"/>
      <c r="E84" s="30"/>
      <c r="F84" s="30"/>
      <c r="G84" s="943"/>
      <c r="H84" s="943"/>
      <c r="I84" s="31"/>
      <c r="J84" s="944"/>
      <c r="K84" s="944"/>
    </row>
    <row r="85" spans="1:19" ht="42" customHeight="1" x14ac:dyDescent="0.35">
      <c r="A85" s="945" t="s">
        <v>842</v>
      </c>
      <c r="B85" s="945"/>
      <c r="C85" s="945"/>
      <c r="D85" s="945"/>
      <c r="E85" s="945"/>
      <c r="F85" s="945"/>
      <c r="G85" s="945"/>
      <c r="H85" s="945"/>
      <c r="I85" s="945"/>
      <c r="J85" s="945"/>
      <c r="K85" s="945"/>
      <c r="L85" s="945"/>
      <c r="M85" s="283"/>
      <c r="N85" s="283"/>
      <c r="O85" s="283"/>
      <c r="P85" s="283"/>
      <c r="Q85" s="283"/>
      <c r="R85" s="283"/>
      <c r="S85" s="283"/>
    </row>
    <row r="86" spans="1:19" ht="42" customHeight="1" x14ac:dyDescent="0.35">
      <c r="A86" s="383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283"/>
      <c r="N86" s="283"/>
      <c r="O86" s="283"/>
      <c r="P86" s="283"/>
      <c r="Q86" s="283"/>
      <c r="R86" s="283"/>
      <c r="S86" s="283"/>
    </row>
    <row r="87" spans="1:19" x14ac:dyDescent="0.35">
      <c r="B87" s="41" t="s">
        <v>885</v>
      </c>
    </row>
  </sheetData>
  <mergeCells count="196">
    <mergeCell ref="B23:F23"/>
    <mergeCell ref="G23:H23"/>
    <mergeCell ref="J23:K23"/>
    <mergeCell ref="B67:E67"/>
    <mergeCell ref="J27:K27"/>
    <mergeCell ref="B33:F33"/>
    <mergeCell ref="B53:F53"/>
    <mergeCell ref="G53:H53"/>
    <mergeCell ref="J53:K53"/>
    <mergeCell ref="A52:L52"/>
    <mergeCell ref="A54:F54"/>
    <mergeCell ref="G54:H54"/>
    <mergeCell ref="J54:K54"/>
    <mergeCell ref="B32:F32"/>
    <mergeCell ref="G32:H32"/>
    <mergeCell ref="J32:K32"/>
    <mergeCell ref="A37:L37"/>
    <mergeCell ref="B38:F38"/>
    <mergeCell ref="G38:H38"/>
    <mergeCell ref="J38:K38"/>
    <mergeCell ref="B39:F39"/>
    <mergeCell ref="G39:H39"/>
    <mergeCell ref="J39:K39"/>
    <mergeCell ref="G34:H34"/>
    <mergeCell ref="B19:F19"/>
    <mergeCell ref="G19:H19"/>
    <mergeCell ref="J19:K19"/>
    <mergeCell ref="B16:F16"/>
    <mergeCell ref="G16:H16"/>
    <mergeCell ref="J16:K16"/>
    <mergeCell ref="B17:F17"/>
    <mergeCell ref="G17:H17"/>
    <mergeCell ref="J17:K17"/>
    <mergeCell ref="B5:L5"/>
    <mergeCell ref="B15:F15"/>
    <mergeCell ref="G15:H15"/>
    <mergeCell ref="J15:K15"/>
    <mergeCell ref="B6:F6"/>
    <mergeCell ref="G6:H6"/>
    <mergeCell ref="J6:K6"/>
    <mergeCell ref="A7:K7"/>
    <mergeCell ref="G8:H8"/>
    <mergeCell ref="B14:F14"/>
    <mergeCell ref="G14:H14"/>
    <mergeCell ref="B9:F9"/>
    <mergeCell ref="G9:H9"/>
    <mergeCell ref="J9:K9"/>
    <mergeCell ref="B10:F10"/>
    <mergeCell ref="G10:H10"/>
    <mergeCell ref="J10:K10"/>
    <mergeCell ref="B11:F11"/>
    <mergeCell ref="G11:H11"/>
    <mergeCell ref="J11:K11"/>
    <mergeCell ref="B12:F12"/>
    <mergeCell ref="G12:H12"/>
    <mergeCell ref="J12:K12"/>
    <mergeCell ref="B13:F13"/>
    <mergeCell ref="G13:H13"/>
    <mergeCell ref="J13:K13"/>
    <mergeCell ref="J29:K29"/>
    <mergeCell ref="B28:F28"/>
    <mergeCell ref="G27:H27"/>
    <mergeCell ref="G28:H28"/>
    <mergeCell ref="G31:H31"/>
    <mergeCell ref="J31:K31"/>
    <mergeCell ref="A26:L26"/>
    <mergeCell ref="B29:F29"/>
    <mergeCell ref="G29:H29"/>
    <mergeCell ref="B22:F22"/>
    <mergeCell ref="G22:H22"/>
    <mergeCell ref="J22:K22"/>
    <mergeCell ref="B20:F20"/>
    <mergeCell ref="G20:H20"/>
    <mergeCell ref="J20:K20"/>
    <mergeCell ref="B21:F21"/>
    <mergeCell ref="G21:H21"/>
    <mergeCell ref="J21:K21"/>
    <mergeCell ref="B18:F18"/>
    <mergeCell ref="G18:H18"/>
    <mergeCell ref="J18:K18"/>
    <mergeCell ref="J14:K14"/>
    <mergeCell ref="A24:F24"/>
    <mergeCell ref="G24:H24"/>
    <mergeCell ref="J24:K24"/>
    <mergeCell ref="B42:F42"/>
    <mergeCell ref="G42:H42"/>
    <mergeCell ref="J42:K42"/>
    <mergeCell ref="B43:F43"/>
    <mergeCell ref="G43:H43"/>
    <mergeCell ref="J43:K43"/>
    <mergeCell ref="J34:K34"/>
    <mergeCell ref="A35:F35"/>
    <mergeCell ref="G35:H35"/>
    <mergeCell ref="J35:K35"/>
    <mergeCell ref="B30:F30"/>
    <mergeCell ref="G30:H30"/>
    <mergeCell ref="J30:K30"/>
    <mergeCell ref="G33:H33"/>
    <mergeCell ref="J33:K33"/>
    <mergeCell ref="G46:H46"/>
    <mergeCell ref="G48:H48"/>
    <mergeCell ref="B40:F40"/>
    <mergeCell ref="G40:H40"/>
    <mergeCell ref="J40:K40"/>
    <mergeCell ref="B41:F41"/>
    <mergeCell ref="G41:H41"/>
    <mergeCell ref="J41:K41"/>
    <mergeCell ref="J62:K62"/>
    <mergeCell ref="G60:H60"/>
    <mergeCell ref="J60:K60"/>
    <mergeCell ref="B44:F44"/>
    <mergeCell ref="G44:H44"/>
    <mergeCell ref="J44:K44"/>
    <mergeCell ref="B45:F45"/>
    <mergeCell ref="G45:H45"/>
    <mergeCell ref="J45:K45"/>
    <mergeCell ref="B49:F49"/>
    <mergeCell ref="J49:K49"/>
    <mergeCell ref="B62:E62"/>
    <mergeCell ref="G50:H50"/>
    <mergeCell ref="G58:H58"/>
    <mergeCell ref="J58:K58"/>
    <mergeCell ref="G59:H59"/>
    <mergeCell ref="J59:K59"/>
    <mergeCell ref="A50:F50"/>
    <mergeCell ref="J50:K50"/>
    <mergeCell ref="A55:F55"/>
    <mergeCell ref="A56:L56"/>
    <mergeCell ref="G57:H57"/>
    <mergeCell ref="J57:K57"/>
    <mergeCell ref="B57:E57"/>
    <mergeCell ref="B58:E58"/>
    <mergeCell ref="B59:E59"/>
    <mergeCell ref="B60:E60"/>
    <mergeCell ref="B61:E61"/>
    <mergeCell ref="G61:H61"/>
    <mergeCell ref="J61:K61"/>
    <mergeCell ref="G62:H62"/>
    <mergeCell ref="J83:K83"/>
    <mergeCell ref="J77:K77"/>
    <mergeCell ref="B66:E66"/>
    <mergeCell ref="G66:H66"/>
    <mergeCell ref="J66:K66"/>
    <mergeCell ref="G68:H68"/>
    <mergeCell ref="J68:K68"/>
    <mergeCell ref="G67:H67"/>
    <mergeCell ref="J67:K67"/>
    <mergeCell ref="B74:E74"/>
    <mergeCell ref="B75:E75"/>
    <mergeCell ref="G74:H74"/>
    <mergeCell ref="J74:K74"/>
    <mergeCell ref="G75:H75"/>
    <mergeCell ref="J75:K75"/>
    <mergeCell ref="A71:F71"/>
    <mergeCell ref="A72:L72"/>
    <mergeCell ref="B73:F73"/>
    <mergeCell ref="G73:H73"/>
    <mergeCell ref="J73:K73"/>
    <mergeCell ref="G65:H65"/>
    <mergeCell ref="B69:E69"/>
    <mergeCell ref="J65:K65"/>
    <mergeCell ref="G63:H63"/>
    <mergeCell ref="J63:K63"/>
    <mergeCell ref="G64:H64"/>
    <mergeCell ref="J64:K64"/>
    <mergeCell ref="B63:E63"/>
    <mergeCell ref="B64:E64"/>
    <mergeCell ref="B65:E65"/>
    <mergeCell ref="G71:H71"/>
    <mergeCell ref="J71:K71"/>
    <mergeCell ref="G70:H70"/>
    <mergeCell ref="J70:K70"/>
    <mergeCell ref="G84:H84"/>
    <mergeCell ref="J84:K84"/>
    <mergeCell ref="A85:L85"/>
    <mergeCell ref="B8:F8"/>
    <mergeCell ref="B81:F81"/>
    <mergeCell ref="G81:H81"/>
    <mergeCell ref="J81:K81"/>
    <mergeCell ref="G82:H82"/>
    <mergeCell ref="J82:K82"/>
    <mergeCell ref="B78:F78"/>
    <mergeCell ref="G78:H78"/>
    <mergeCell ref="J78:K78"/>
    <mergeCell ref="G79:H79"/>
    <mergeCell ref="J79:K79"/>
    <mergeCell ref="A80:L80"/>
    <mergeCell ref="G76:H76"/>
    <mergeCell ref="J76:K76"/>
    <mergeCell ref="A77:F77"/>
    <mergeCell ref="G77:H77"/>
    <mergeCell ref="G69:H69"/>
    <mergeCell ref="J69:K69"/>
    <mergeCell ref="B76:E76"/>
    <mergeCell ref="G47:H47"/>
    <mergeCell ref="B70:F7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47" workbookViewId="0">
      <selection activeCell="E49" sqref="E49"/>
    </sheetView>
  </sheetViews>
  <sheetFormatPr defaultRowHeight="14.5" x14ac:dyDescent="0.35"/>
  <cols>
    <col min="1" max="1" width="26.453125" customWidth="1"/>
    <col min="2" max="2" width="12.453125" customWidth="1"/>
    <col min="3" max="3" width="17.1796875" customWidth="1"/>
    <col min="4" max="4" width="19.1796875" customWidth="1"/>
    <col min="5" max="6" width="12.453125" customWidth="1"/>
  </cols>
  <sheetData>
    <row r="2" spans="1:7" x14ac:dyDescent="0.35">
      <c r="A2" s="41"/>
      <c r="B2" s="41"/>
      <c r="C2" s="41"/>
      <c r="D2" s="41"/>
      <c r="E2" s="41"/>
      <c r="F2" s="41"/>
      <c r="G2" s="41"/>
    </row>
    <row r="3" spans="1:7" x14ac:dyDescent="0.35">
      <c r="A3" s="41"/>
      <c r="B3" s="41"/>
      <c r="C3" s="41"/>
      <c r="D3" s="41"/>
      <c r="E3" s="41"/>
      <c r="F3" s="82" t="s">
        <v>219</v>
      </c>
      <c r="G3" s="82">
        <f>G4</f>
        <v>1690.9</v>
      </c>
    </row>
    <row r="4" spans="1:7" ht="15.5" x14ac:dyDescent="0.35">
      <c r="A4" s="1243" t="s">
        <v>255</v>
      </c>
      <c r="B4" s="1243"/>
      <c r="C4" s="1243"/>
      <c r="D4" s="1243"/>
      <c r="E4" s="1243"/>
      <c r="F4" s="82" t="s">
        <v>220</v>
      </c>
      <c r="G4" s="82">
        <f>G8+G7+G9</f>
        <v>1690.9</v>
      </c>
    </row>
    <row r="5" spans="1:7" ht="15.5" x14ac:dyDescent="0.35">
      <c r="A5" s="1243" t="s">
        <v>274</v>
      </c>
      <c r="B5" s="1243"/>
      <c r="C5" s="1243"/>
      <c r="D5" s="1243"/>
      <c r="E5" s="1243"/>
      <c r="F5" s="82" t="s">
        <v>221</v>
      </c>
      <c r="G5" s="82">
        <f>G7+G9</f>
        <v>1342.6999999999998</v>
      </c>
    </row>
    <row r="6" spans="1:7" ht="15.5" x14ac:dyDescent="0.35">
      <c r="A6" s="622"/>
      <c r="B6" s="622"/>
      <c r="C6" s="623" t="s">
        <v>1273</v>
      </c>
      <c r="D6" s="615"/>
      <c r="E6" s="615"/>
      <c r="F6" s="82" t="s">
        <v>222</v>
      </c>
      <c r="G6" s="82">
        <f>G7+G8</f>
        <v>460.30000000000007</v>
      </c>
    </row>
    <row r="7" spans="1:7" x14ac:dyDescent="0.35">
      <c r="A7" s="273" t="s">
        <v>1274</v>
      </c>
      <c r="B7" s="274"/>
      <c r="C7" s="41"/>
      <c r="D7" s="41"/>
      <c r="E7" s="41"/>
      <c r="F7" s="82" t="s">
        <v>223</v>
      </c>
      <c r="G7" s="621">
        <f>59.6+52.5</f>
        <v>112.1</v>
      </c>
    </row>
    <row r="8" spans="1:7" x14ac:dyDescent="0.35">
      <c r="A8" s="84"/>
      <c r="B8" s="84"/>
      <c r="F8" s="82" t="s">
        <v>224</v>
      </c>
      <c r="G8" s="83">
        <f>22.8+29.2+3.5+58.6+1.2+17.8+209.5+5.6</f>
        <v>348.20000000000005</v>
      </c>
    </row>
    <row r="9" spans="1:7" x14ac:dyDescent="0.35">
      <c r="A9" s="84"/>
      <c r="B9" s="84"/>
      <c r="F9" s="82" t="s">
        <v>140</v>
      </c>
      <c r="G9" s="83">
        <v>1230.5999999999999</v>
      </c>
    </row>
    <row r="10" spans="1:7" ht="15" thickBot="1" x14ac:dyDescent="0.4">
      <c r="A10" s="84"/>
      <c r="B10" s="84"/>
      <c r="F10" s="82" t="s">
        <v>249</v>
      </c>
      <c r="G10" s="82">
        <f>G9+G8</f>
        <v>1578.8</v>
      </c>
    </row>
    <row r="11" spans="1:7" x14ac:dyDescent="0.35">
      <c r="A11" s="1244" t="s">
        <v>256</v>
      </c>
      <c r="B11" s="1247" t="s">
        <v>226</v>
      </c>
      <c r="C11" s="1250" t="s">
        <v>257</v>
      </c>
      <c r="D11" s="1244" t="s">
        <v>258</v>
      </c>
      <c r="E11" s="1244" t="s">
        <v>259</v>
      </c>
      <c r="F11" s="269"/>
    </row>
    <row r="12" spans="1:7" x14ac:dyDescent="0.35">
      <c r="A12" s="1245"/>
      <c r="B12" s="1248"/>
      <c r="C12" s="1251"/>
      <c r="D12" s="1245"/>
      <c r="E12" s="1245"/>
      <c r="F12" s="269"/>
    </row>
    <row r="13" spans="1:7" ht="21" customHeight="1" thickBot="1" x14ac:dyDescent="0.4">
      <c r="A13" s="1246"/>
      <c r="B13" s="1249"/>
      <c r="C13" s="1252"/>
      <c r="D13" s="1246"/>
      <c r="E13" s="1246"/>
      <c r="F13" s="269"/>
    </row>
    <row r="14" spans="1:7" ht="15" thickBot="1" x14ac:dyDescent="0.4">
      <c r="A14" s="264" t="s">
        <v>227</v>
      </c>
      <c r="B14" s="85" t="s">
        <v>219</v>
      </c>
      <c r="C14" s="85">
        <v>1</v>
      </c>
      <c r="D14" s="86">
        <f>G4*C14/1000</f>
        <v>1.6909000000000001</v>
      </c>
      <c r="E14" s="264">
        <v>3</v>
      </c>
      <c r="F14" s="270"/>
    </row>
    <row r="15" spans="1:7" x14ac:dyDescent="0.35">
      <c r="A15" s="1237" t="s">
        <v>260</v>
      </c>
      <c r="B15" s="1239" t="s">
        <v>219</v>
      </c>
      <c r="C15" s="1237">
        <v>0.9</v>
      </c>
      <c r="D15" s="1241">
        <f>G3*C15/1000</f>
        <v>1.5218100000000001</v>
      </c>
      <c r="E15" s="1237">
        <v>1</v>
      </c>
      <c r="F15" s="1234"/>
    </row>
    <row r="16" spans="1:7" ht="15" thickBot="1" x14ac:dyDescent="0.4">
      <c r="A16" s="1238"/>
      <c r="B16" s="1240"/>
      <c r="C16" s="1238"/>
      <c r="D16" s="1242"/>
      <c r="E16" s="1238"/>
      <c r="F16" s="1234"/>
    </row>
    <row r="17" spans="1:6" ht="15" thickBot="1" x14ac:dyDescent="0.4">
      <c r="A17" s="264" t="s">
        <v>228</v>
      </c>
      <c r="B17" s="85" t="s">
        <v>222</v>
      </c>
      <c r="C17" s="85">
        <v>0.5</v>
      </c>
      <c r="D17" s="87">
        <f>G6*C17/1000</f>
        <v>0.23015000000000002</v>
      </c>
      <c r="E17" s="264">
        <v>1</v>
      </c>
      <c r="F17" s="271"/>
    </row>
    <row r="18" spans="1:6" ht="26.5" thickBot="1" x14ac:dyDescent="0.4">
      <c r="A18" s="264" t="s">
        <v>261</v>
      </c>
      <c r="B18" s="85" t="s">
        <v>223</v>
      </c>
      <c r="C18" s="85">
        <v>0.4</v>
      </c>
      <c r="D18" s="87">
        <f>G7*C18/1000</f>
        <v>4.4840000000000005E-2</v>
      </c>
      <c r="E18" s="264">
        <v>1</v>
      </c>
      <c r="F18" s="270"/>
    </row>
    <row r="19" spans="1:6" ht="15" thickBot="1" x14ac:dyDescent="0.4">
      <c r="A19" s="264" t="s">
        <v>229</v>
      </c>
      <c r="B19" s="85" t="s">
        <v>223</v>
      </c>
      <c r="C19" s="85">
        <v>1.3</v>
      </c>
      <c r="D19" s="86">
        <f>G7*C19/1000</f>
        <v>0.14573</v>
      </c>
      <c r="E19" s="264">
        <v>1</v>
      </c>
      <c r="F19" s="271"/>
    </row>
    <row r="20" spans="1:6" ht="15" thickBot="1" x14ac:dyDescent="0.4">
      <c r="A20" s="264" t="s">
        <v>230</v>
      </c>
      <c r="B20" s="85" t="s">
        <v>223</v>
      </c>
      <c r="C20" s="85">
        <v>0.4</v>
      </c>
      <c r="D20" s="87">
        <f>G7*C20/1000</f>
        <v>4.4840000000000005E-2</v>
      </c>
      <c r="E20" s="264"/>
      <c r="F20" s="270"/>
    </row>
    <row r="21" spans="1:6" ht="15" thickBot="1" x14ac:dyDescent="0.4">
      <c r="A21" s="264" t="s">
        <v>231</v>
      </c>
      <c r="B21" s="85" t="s">
        <v>223</v>
      </c>
      <c r="C21" s="85">
        <v>0.15</v>
      </c>
      <c r="D21" s="87">
        <f>G7*C21/1000</f>
        <v>1.6814999999999997E-2</v>
      </c>
      <c r="E21" s="264"/>
      <c r="F21" s="270"/>
    </row>
    <row r="22" spans="1:6" ht="15" thickBot="1" x14ac:dyDescent="0.4">
      <c r="A22" s="264" t="s">
        <v>262</v>
      </c>
      <c r="B22" s="85" t="s">
        <v>224</v>
      </c>
      <c r="C22" s="85">
        <v>2</v>
      </c>
      <c r="D22" s="86">
        <f>G8*C22/1000</f>
        <v>0.69640000000000013</v>
      </c>
      <c r="E22" s="264">
        <v>1</v>
      </c>
      <c r="F22" s="271"/>
    </row>
    <row r="23" spans="1:6" ht="15" thickBot="1" x14ac:dyDescent="0.4">
      <c r="A23" s="264" t="s">
        <v>232</v>
      </c>
      <c r="B23" s="85" t="s">
        <v>224</v>
      </c>
      <c r="C23" s="85">
        <v>0.7</v>
      </c>
      <c r="D23" s="87">
        <f>G8*C23/1000</f>
        <v>0.24374000000000001</v>
      </c>
      <c r="E23" s="264"/>
      <c r="F23" s="270"/>
    </row>
    <row r="24" spans="1:6" ht="15" thickBot="1" x14ac:dyDescent="0.4">
      <c r="A24" s="264" t="s">
        <v>233</v>
      </c>
      <c r="B24" s="85" t="s">
        <v>224</v>
      </c>
      <c r="C24" s="85">
        <v>2.4</v>
      </c>
      <c r="D24" s="86">
        <f>G8*C24/1000</f>
        <v>0.83568000000000009</v>
      </c>
      <c r="E24" s="264">
        <v>1</v>
      </c>
      <c r="F24" s="271"/>
    </row>
    <row r="25" spans="1:6" ht="15" thickBot="1" x14ac:dyDescent="0.4">
      <c r="A25" s="264" t="s">
        <v>234</v>
      </c>
      <c r="B25" s="85" t="s">
        <v>220</v>
      </c>
      <c r="C25" s="85">
        <v>0.65</v>
      </c>
      <c r="D25" s="87">
        <f>G4*C25/1000</f>
        <v>1.0990850000000001</v>
      </c>
      <c r="E25" s="264">
        <v>1</v>
      </c>
      <c r="F25" s="271"/>
    </row>
    <row r="26" spans="1:6" ht="15" thickBot="1" x14ac:dyDescent="0.4">
      <c r="A26" s="264" t="s">
        <v>263</v>
      </c>
      <c r="B26" s="85" t="s">
        <v>236</v>
      </c>
      <c r="C26" s="85">
        <v>1.3</v>
      </c>
      <c r="D26" s="88">
        <f>G6*C26/1000</f>
        <v>0.59839000000000009</v>
      </c>
      <c r="E26" s="264">
        <v>1</v>
      </c>
      <c r="F26" s="270"/>
    </row>
    <row r="27" spans="1:6" ht="26.5" thickBot="1" x14ac:dyDescent="0.4">
      <c r="A27" s="264" t="s">
        <v>264</v>
      </c>
      <c r="B27" s="85" t="s">
        <v>224</v>
      </c>
      <c r="C27" s="85">
        <v>1.3</v>
      </c>
      <c r="D27" s="87">
        <f>G8*C27/1000</f>
        <v>0.45266000000000006</v>
      </c>
      <c r="E27" s="264">
        <v>1</v>
      </c>
      <c r="F27" s="270"/>
    </row>
    <row r="28" spans="1:6" ht="15" thickBot="1" x14ac:dyDescent="0.4">
      <c r="A28" s="264" t="s">
        <v>235</v>
      </c>
      <c r="B28" s="85" t="s">
        <v>236</v>
      </c>
      <c r="C28" s="85">
        <v>1.3</v>
      </c>
      <c r="D28" s="88">
        <f>G6*C28/1000</f>
        <v>0.59839000000000009</v>
      </c>
      <c r="E28" s="264">
        <v>1</v>
      </c>
      <c r="F28" s="270"/>
    </row>
    <row r="29" spans="1:6" ht="26.5" thickBot="1" x14ac:dyDescent="0.4">
      <c r="A29" s="264" t="s">
        <v>237</v>
      </c>
      <c r="B29" s="85" t="s">
        <v>224</v>
      </c>
      <c r="C29" s="85">
        <v>0.65</v>
      </c>
      <c r="D29" s="88">
        <f>G8*C29/1000</f>
        <v>0.22633000000000003</v>
      </c>
      <c r="E29" s="264"/>
      <c r="F29" s="270"/>
    </row>
    <row r="30" spans="1:6" ht="15" thickBot="1" x14ac:dyDescent="0.4">
      <c r="A30" s="264" t="s">
        <v>238</v>
      </c>
      <c r="B30" s="85" t="s">
        <v>225</v>
      </c>
      <c r="C30" s="85">
        <v>1.3</v>
      </c>
      <c r="D30" s="87">
        <f>G4*C30/1000</f>
        <v>2.1981700000000002</v>
      </c>
      <c r="E30" s="264">
        <v>1</v>
      </c>
      <c r="F30" s="271"/>
    </row>
    <row r="31" spans="1:6" ht="15" thickBot="1" x14ac:dyDescent="0.4">
      <c r="A31" s="264" t="s">
        <v>239</v>
      </c>
      <c r="B31" s="85" t="s">
        <v>225</v>
      </c>
      <c r="C31" s="85">
        <v>0.25</v>
      </c>
      <c r="D31" s="87">
        <f>G4*C31/1000</f>
        <v>0.42272500000000002</v>
      </c>
      <c r="E31" s="264"/>
      <c r="F31" s="270"/>
    </row>
    <row r="32" spans="1:6" ht="15" thickBot="1" x14ac:dyDescent="0.4">
      <c r="A32" s="264" t="s">
        <v>240</v>
      </c>
      <c r="B32" s="85" t="s">
        <v>222</v>
      </c>
      <c r="C32" s="85">
        <v>1.3</v>
      </c>
      <c r="D32" s="87">
        <f>G6*C32/1000</f>
        <v>0.59839000000000009</v>
      </c>
      <c r="E32" s="264">
        <v>1</v>
      </c>
      <c r="F32" s="270"/>
    </row>
    <row r="33" spans="1:6" ht="15" thickBot="1" x14ac:dyDescent="0.4">
      <c r="A33" s="89" t="s">
        <v>265</v>
      </c>
      <c r="B33" s="90"/>
      <c r="C33" s="91"/>
      <c r="D33" s="92">
        <f>SUM(D14:D32)</f>
        <v>11.665045000000001</v>
      </c>
      <c r="E33" s="89">
        <f>SUM(E14:E32)</f>
        <v>15</v>
      </c>
      <c r="F33" s="272"/>
    </row>
    <row r="34" spans="1:6" ht="15" thickBot="1" x14ac:dyDescent="0.4">
      <c r="A34" s="265" t="s">
        <v>266</v>
      </c>
      <c r="B34" s="266"/>
      <c r="C34" s="267"/>
      <c r="D34" s="268">
        <f>D33*1.2</f>
        <v>13.998054000000002</v>
      </c>
      <c r="E34" s="268">
        <f>E33*1.2</f>
        <v>18</v>
      </c>
      <c r="F34" s="272"/>
    </row>
    <row r="35" spans="1:6" ht="15" thickBot="1" x14ac:dyDescent="0.4">
      <c r="A35" s="96" t="s">
        <v>241</v>
      </c>
      <c r="B35" s="95" t="s">
        <v>222</v>
      </c>
      <c r="C35" s="95">
        <v>1.3</v>
      </c>
      <c r="D35" s="97">
        <f>G6*C35/1000</f>
        <v>0.59839000000000009</v>
      </c>
      <c r="E35" s="96">
        <v>1</v>
      </c>
      <c r="F35" s="272"/>
    </row>
    <row r="36" spans="1:6" ht="15" thickBot="1" x14ac:dyDescent="0.4">
      <c r="A36" s="264" t="s">
        <v>242</v>
      </c>
      <c r="B36" s="85" t="s">
        <v>225</v>
      </c>
      <c r="C36" s="85">
        <v>0.7</v>
      </c>
      <c r="D36" s="87">
        <f>G4*C36/1000</f>
        <v>1.18363</v>
      </c>
      <c r="E36" s="264">
        <v>1</v>
      </c>
      <c r="F36" s="270"/>
    </row>
    <row r="37" spans="1:6" ht="15" thickBot="1" x14ac:dyDescent="0.4">
      <c r="A37" s="264" t="s">
        <v>243</v>
      </c>
      <c r="B37" s="85" t="s">
        <v>222</v>
      </c>
      <c r="C37" s="85">
        <v>1.3</v>
      </c>
      <c r="D37" s="88">
        <f>G6*C37/1000</f>
        <v>0.59839000000000009</v>
      </c>
      <c r="E37" s="264">
        <v>1</v>
      </c>
      <c r="F37" s="270"/>
    </row>
    <row r="38" spans="1:6" ht="15" thickBot="1" x14ac:dyDescent="0.4">
      <c r="A38" s="264" t="s">
        <v>244</v>
      </c>
      <c r="B38" s="85" t="s">
        <v>225</v>
      </c>
      <c r="C38" s="85">
        <v>0.4</v>
      </c>
      <c r="D38" s="98">
        <f>G4*C38/1000</f>
        <v>0.67636000000000007</v>
      </c>
      <c r="E38" s="264">
        <v>1</v>
      </c>
      <c r="F38" s="271"/>
    </row>
    <row r="39" spans="1:6" ht="15" thickBot="1" x14ac:dyDescent="0.4">
      <c r="A39" s="264" t="s">
        <v>245</v>
      </c>
      <c r="B39" s="85" t="s">
        <v>223</v>
      </c>
      <c r="C39" s="85">
        <v>1.3</v>
      </c>
      <c r="D39" s="88">
        <f>G7*C39/1000</f>
        <v>0.14573</v>
      </c>
      <c r="E39" s="264">
        <v>1</v>
      </c>
      <c r="F39" s="271"/>
    </row>
    <row r="40" spans="1:6" ht="26.5" thickBot="1" x14ac:dyDescent="0.4">
      <c r="A40" s="264" t="s">
        <v>267</v>
      </c>
      <c r="B40" s="85" t="s">
        <v>223</v>
      </c>
      <c r="C40" s="85">
        <v>0.15</v>
      </c>
      <c r="D40" s="88">
        <f>G7*C40/1000</f>
        <v>1.6814999999999997E-2</v>
      </c>
      <c r="E40" s="264" t="s">
        <v>159</v>
      </c>
      <c r="F40" s="270"/>
    </row>
    <row r="41" spans="1:6" ht="15" thickBot="1" x14ac:dyDescent="0.4">
      <c r="A41" s="264" t="s">
        <v>246</v>
      </c>
      <c r="B41" s="85" t="s">
        <v>224</v>
      </c>
      <c r="C41" s="85">
        <v>1.3</v>
      </c>
      <c r="D41" s="87">
        <f>G8*C41/1000</f>
        <v>0.45266000000000006</v>
      </c>
      <c r="E41" s="264">
        <v>1</v>
      </c>
      <c r="F41" s="271"/>
    </row>
    <row r="42" spans="1:6" ht="15" thickBot="1" x14ac:dyDescent="0.4">
      <c r="A42" s="264" t="s">
        <v>247</v>
      </c>
      <c r="B42" s="85" t="s">
        <v>221</v>
      </c>
      <c r="C42" s="85">
        <v>1.3</v>
      </c>
      <c r="D42" s="88">
        <f>G5*C42/1000</f>
        <v>1.7455099999999997</v>
      </c>
      <c r="E42" s="264">
        <v>1</v>
      </c>
      <c r="F42" s="270"/>
    </row>
    <row r="43" spans="1:6" ht="26.5" thickBot="1" x14ac:dyDescent="0.4">
      <c r="A43" s="264" t="s">
        <v>248</v>
      </c>
      <c r="B43" s="85" t="s">
        <v>223</v>
      </c>
      <c r="C43" s="85">
        <v>1</v>
      </c>
      <c r="D43" s="87">
        <f>G7*C43/1000</f>
        <v>0.11209999999999999</v>
      </c>
      <c r="E43" s="264">
        <v>1</v>
      </c>
      <c r="F43" s="270"/>
    </row>
    <row r="44" spans="1:6" ht="26.5" thickBot="1" x14ac:dyDescent="0.4">
      <c r="A44" s="264" t="s">
        <v>268</v>
      </c>
      <c r="B44" s="85" t="s">
        <v>224</v>
      </c>
      <c r="C44" s="85">
        <v>2.5</v>
      </c>
      <c r="D44" s="88">
        <f>G8*C44/1000</f>
        <v>0.87050000000000016</v>
      </c>
      <c r="E44" s="264">
        <v>1</v>
      </c>
      <c r="F44" s="270"/>
    </row>
    <row r="45" spans="1:6" ht="15" thickBot="1" x14ac:dyDescent="0.4">
      <c r="A45" s="264" t="s">
        <v>269</v>
      </c>
      <c r="B45" s="85" t="s">
        <v>249</v>
      </c>
      <c r="C45" s="85">
        <v>0.15</v>
      </c>
      <c r="D45" s="87">
        <f>G10*C45/1000</f>
        <v>0.23682</v>
      </c>
      <c r="E45" s="264" t="s">
        <v>159</v>
      </c>
      <c r="F45" s="270"/>
    </row>
    <row r="46" spans="1:6" ht="26.5" thickBot="1" x14ac:dyDescent="0.4">
      <c r="A46" s="264" t="s">
        <v>250</v>
      </c>
      <c r="B46" s="85" t="s">
        <v>223</v>
      </c>
      <c r="C46" s="85">
        <v>0.8</v>
      </c>
      <c r="D46" s="87">
        <f>G7*C46/1000</f>
        <v>8.968000000000001E-2</v>
      </c>
      <c r="E46" s="264">
        <v>1</v>
      </c>
      <c r="F46" s="270"/>
    </row>
    <row r="47" spans="1:6" ht="15" thickBot="1" x14ac:dyDescent="0.4">
      <c r="A47" s="93" t="s">
        <v>270</v>
      </c>
      <c r="B47" s="94"/>
      <c r="C47" s="95"/>
      <c r="D47" s="99">
        <f>SUM(D35:D46)</f>
        <v>6.7265849999999991</v>
      </c>
      <c r="E47" s="93">
        <v>10</v>
      </c>
      <c r="F47" s="272"/>
    </row>
    <row r="48" spans="1:6" ht="26.5" thickBot="1" x14ac:dyDescent="0.4">
      <c r="A48" s="89" t="s">
        <v>271</v>
      </c>
      <c r="B48" s="90"/>
      <c r="C48" s="91"/>
      <c r="D48" s="100">
        <f>D47*1.2</f>
        <v>8.0719019999999979</v>
      </c>
      <c r="E48" s="100">
        <f>E47*1.2</f>
        <v>12</v>
      </c>
      <c r="F48" s="272"/>
    </row>
    <row r="49" spans="1:7" ht="26.25" customHeight="1" thickBot="1" x14ac:dyDescent="0.4">
      <c r="A49" s="101" t="s">
        <v>272</v>
      </c>
      <c r="B49" s="91"/>
      <c r="C49" s="91"/>
      <c r="D49" s="100">
        <f>D34+D48</f>
        <v>22.069955999999998</v>
      </c>
      <c r="E49" s="100">
        <f>E34+E48</f>
        <v>30</v>
      </c>
      <c r="F49" s="272"/>
    </row>
    <row r="50" spans="1:7" ht="50.25" customHeight="1" x14ac:dyDescent="0.35">
      <c r="A50" s="1235" t="s">
        <v>273</v>
      </c>
      <c r="B50" s="1235"/>
      <c r="C50" s="1235"/>
      <c r="D50" s="1235"/>
      <c r="E50" s="1235"/>
      <c r="F50" s="1236"/>
      <c r="G50" s="102"/>
    </row>
    <row r="51" spans="1:7" ht="50.25" customHeight="1" x14ac:dyDescent="0.35">
      <c r="A51" s="386"/>
      <c r="B51" s="386"/>
      <c r="C51" s="386"/>
      <c r="D51" s="386"/>
      <c r="E51" s="386"/>
      <c r="F51" s="386"/>
      <c r="G51" s="102"/>
    </row>
    <row r="52" spans="1:7" x14ac:dyDescent="0.35">
      <c r="A52" t="s">
        <v>885</v>
      </c>
    </row>
  </sheetData>
  <mergeCells count="14">
    <mergeCell ref="A4:E4"/>
    <mergeCell ref="A5:E5"/>
    <mergeCell ref="A11:A13"/>
    <mergeCell ref="B11:B13"/>
    <mergeCell ref="C11:C13"/>
    <mergeCell ref="D11:D13"/>
    <mergeCell ref="E11:E13"/>
    <mergeCell ref="F15:F16"/>
    <mergeCell ref="A50:F5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9" workbookViewId="0">
      <selection activeCell="E26" sqref="E26"/>
    </sheetView>
  </sheetViews>
  <sheetFormatPr defaultRowHeight="14.5" x14ac:dyDescent="0.35"/>
  <cols>
    <col min="1" max="1" width="16.08984375" customWidth="1"/>
    <col min="3" max="3" width="16.1796875" customWidth="1"/>
    <col min="4" max="4" width="24.1796875" customWidth="1"/>
    <col min="5" max="5" width="20.453125" customWidth="1"/>
  </cols>
  <sheetData>
    <row r="1" spans="1:5" ht="15.5" x14ac:dyDescent="0.35">
      <c r="A1" s="499"/>
      <c r="B1" s="451"/>
      <c r="C1" s="451"/>
      <c r="D1" s="451"/>
      <c r="E1" s="451"/>
    </row>
    <row r="2" spans="1:5" ht="15.5" x14ac:dyDescent="0.35">
      <c r="A2" s="499" t="s">
        <v>1400</v>
      </c>
      <c r="B2" s="451"/>
      <c r="C2" s="451"/>
      <c r="D2" s="451"/>
      <c r="E2" s="451"/>
    </row>
    <row r="3" spans="1:5" ht="15" thickBot="1" x14ac:dyDescent="0.4">
      <c r="A3" s="455"/>
    </row>
    <row r="4" spans="1:5" ht="29.5" thickBot="1" x14ac:dyDescent="0.4">
      <c r="A4" s="458" t="s">
        <v>977</v>
      </c>
      <c r="B4" s="481" t="s">
        <v>978</v>
      </c>
      <c r="C4" s="481" t="s">
        <v>825</v>
      </c>
      <c r="D4" s="481" t="s">
        <v>979</v>
      </c>
      <c r="E4" s="481" t="s">
        <v>980</v>
      </c>
    </row>
    <row r="5" spans="1:5" ht="45" customHeight="1" x14ac:dyDescent="0.35">
      <c r="A5" s="1263" t="s">
        <v>1059</v>
      </c>
      <c r="B5" s="1257" t="s">
        <v>981</v>
      </c>
      <c r="C5" s="484" t="s">
        <v>982</v>
      </c>
      <c r="D5" s="484" t="s">
        <v>990</v>
      </c>
      <c r="E5" s="484" t="s">
        <v>1401</v>
      </c>
    </row>
    <row r="6" spans="1:5" ht="27.5" customHeight="1" x14ac:dyDescent="0.35">
      <c r="A6" s="1264"/>
      <c r="B6" s="1258"/>
      <c r="C6" s="456" t="s">
        <v>989</v>
      </c>
      <c r="D6" s="456" t="s">
        <v>1403</v>
      </c>
      <c r="E6" s="456"/>
    </row>
    <row r="7" spans="1:5" x14ac:dyDescent="0.35">
      <c r="A7" s="1264"/>
      <c r="B7" s="1258"/>
      <c r="C7" s="457"/>
      <c r="D7" s="456" t="s">
        <v>983</v>
      </c>
      <c r="E7" s="456" t="s">
        <v>373</v>
      </c>
    </row>
    <row r="8" spans="1:5" ht="29" x14ac:dyDescent="0.35">
      <c r="A8" s="1264"/>
      <c r="B8" s="1258"/>
      <c r="C8" s="457"/>
      <c r="D8" s="456" t="s">
        <v>1404</v>
      </c>
      <c r="E8" s="456" t="s">
        <v>985</v>
      </c>
    </row>
    <row r="9" spans="1:5" x14ac:dyDescent="0.35">
      <c r="A9" s="1264"/>
      <c r="B9" s="1258"/>
      <c r="C9" s="457"/>
      <c r="D9" s="456" t="s">
        <v>984</v>
      </c>
      <c r="E9" s="456"/>
    </row>
    <row r="10" spans="1:5" ht="44" thickBot="1" x14ac:dyDescent="0.4">
      <c r="A10" s="1265"/>
      <c r="B10" s="1259"/>
      <c r="C10" s="487"/>
      <c r="D10" s="488" t="s">
        <v>1405</v>
      </c>
      <c r="E10" s="488" t="s">
        <v>1402</v>
      </c>
    </row>
    <row r="11" spans="1:5" ht="29" x14ac:dyDescent="0.35">
      <c r="A11" s="1263" t="s">
        <v>1059</v>
      </c>
      <c r="B11" s="1257" t="s">
        <v>981</v>
      </c>
      <c r="C11" s="1266" t="s">
        <v>1060</v>
      </c>
      <c r="D11" s="484" t="s">
        <v>1406</v>
      </c>
      <c r="E11" s="484" t="s">
        <v>994</v>
      </c>
    </row>
    <row r="12" spans="1:5" ht="68" customHeight="1" thickBot="1" x14ac:dyDescent="0.4">
      <c r="A12" s="1265"/>
      <c r="B12" s="1259"/>
      <c r="C12" s="1267"/>
      <c r="D12" s="488" t="s">
        <v>1407</v>
      </c>
      <c r="E12" s="488" t="s">
        <v>1399</v>
      </c>
    </row>
    <row r="13" spans="1:5" ht="115" customHeight="1" thickBot="1" x14ac:dyDescent="0.4">
      <c r="A13" s="489" t="s">
        <v>1001</v>
      </c>
      <c r="B13" s="490">
        <v>650</v>
      </c>
      <c r="C13" s="491" t="s">
        <v>982</v>
      </c>
      <c r="D13" s="491" t="s">
        <v>1408</v>
      </c>
      <c r="E13" s="492" t="s">
        <v>1398</v>
      </c>
    </row>
    <row r="14" spans="1:5" ht="44" thickBot="1" x14ac:dyDescent="0.4">
      <c r="A14" s="482" t="s">
        <v>995</v>
      </c>
      <c r="B14" s="483"/>
      <c r="C14" s="483" t="s">
        <v>996</v>
      </c>
      <c r="D14" s="484"/>
      <c r="E14" s="755" t="s">
        <v>1395</v>
      </c>
    </row>
    <row r="15" spans="1:5" ht="87.5" thickBot="1" x14ac:dyDescent="0.4">
      <c r="A15" s="489" t="s">
        <v>1058</v>
      </c>
      <c r="B15" s="490" t="s">
        <v>998</v>
      </c>
      <c r="C15" s="490" t="s">
        <v>997</v>
      </c>
      <c r="D15" s="491" t="s">
        <v>1409</v>
      </c>
      <c r="E15" s="756" t="s">
        <v>1396</v>
      </c>
    </row>
    <row r="16" spans="1:5" ht="20.5" customHeight="1" x14ac:dyDescent="0.35">
      <c r="A16" s="482" t="s">
        <v>986</v>
      </c>
      <c r="B16" s="1257"/>
      <c r="C16" s="1257" t="s">
        <v>988</v>
      </c>
      <c r="D16" s="1257"/>
      <c r="E16" s="1260" t="s">
        <v>1397</v>
      </c>
    </row>
    <row r="17" spans="1:5" x14ac:dyDescent="0.35">
      <c r="A17" s="485" t="s">
        <v>1057</v>
      </c>
      <c r="B17" s="1258"/>
      <c r="C17" s="1258"/>
      <c r="D17" s="1258"/>
      <c r="E17" s="1261"/>
    </row>
    <row r="18" spans="1:5" x14ac:dyDescent="0.35">
      <c r="A18" s="485" t="s">
        <v>987</v>
      </c>
      <c r="B18" s="1258"/>
      <c r="C18" s="1258"/>
      <c r="D18" s="1258"/>
      <c r="E18" s="1261"/>
    </row>
    <row r="19" spans="1:5" ht="15" thickBot="1" x14ac:dyDescent="0.4">
      <c r="A19" s="486" t="s">
        <v>991</v>
      </c>
      <c r="B19" s="1259"/>
      <c r="C19" s="1259"/>
      <c r="D19" s="1259"/>
      <c r="E19" s="1262"/>
    </row>
    <row r="20" spans="1:5" ht="15" thickBot="1" x14ac:dyDescent="0.4">
      <c r="A20" s="479"/>
      <c r="B20" s="456"/>
      <c r="C20" s="456"/>
      <c r="D20" s="493">
        <v>121400</v>
      </c>
      <c r="E20" s="493">
        <v>584480</v>
      </c>
    </row>
    <row r="21" spans="1:5" ht="15" thickBot="1" x14ac:dyDescent="0.4">
      <c r="A21" s="494" t="s">
        <v>265</v>
      </c>
      <c r="B21" s="495"/>
      <c r="C21" s="495"/>
      <c r="D21" s="1255">
        <f>D20+E20</f>
        <v>705880</v>
      </c>
      <c r="E21" s="1256"/>
    </row>
    <row r="22" spans="1:5" x14ac:dyDescent="0.35">
      <c r="A22" s="455"/>
    </row>
    <row r="23" spans="1:5" x14ac:dyDescent="0.35">
      <c r="A23" s="455"/>
    </row>
    <row r="24" spans="1:5" x14ac:dyDescent="0.35">
      <c r="A24" s="455" t="s">
        <v>999</v>
      </c>
      <c r="D24" t="s">
        <v>1000</v>
      </c>
    </row>
    <row r="25" spans="1:5" x14ac:dyDescent="0.35">
      <c r="A25" s="455"/>
    </row>
    <row r="27" spans="1:5" ht="18.5" x14ac:dyDescent="0.35">
      <c r="A27" s="1254" t="s">
        <v>1394</v>
      </c>
      <c r="B27" s="1254"/>
      <c r="C27" s="1254"/>
      <c r="D27" s="1254"/>
      <c r="E27" s="1254"/>
    </row>
    <row r="28" spans="1:5" ht="18.5" x14ac:dyDescent="0.35">
      <c r="A28" s="1254" t="s">
        <v>1473</v>
      </c>
      <c r="B28" s="1254"/>
      <c r="C28" s="1254"/>
      <c r="D28" s="1254"/>
      <c r="E28" s="1254"/>
    </row>
    <row r="29" spans="1:5" ht="18.5" x14ac:dyDescent="0.35">
      <c r="A29" s="555"/>
    </row>
    <row r="30" spans="1:5" ht="139.5" customHeight="1" x14ac:dyDescent="0.35">
      <c r="A30" s="1253" t="s">
        <v>1080</v>
      </c>
      <c r="B30" s="1253"/>
      <c r="C30" s="1253"/>
      <c r="D30" s="1253"/>
      <c r="E30" s="1253"/>
    </row>
    <row r="31" spans="1:5" ht="113" customHeight="1" x14ac:dyDescent="0.35">
      <c r="A31" s="1253" t="s">
        <v>1081</v>
      </c>
      <c r="B31" s="1253"/>
      <c r="C31" s="1253"/>
      <c r="D31" s="1253"/>
      <c r="E31" s="1253"/>
    </row>
    <row r="32" spans="1:5" ht="36" customHeight="1" x14ac:dyDescent="0.35">
      <c r="A32" s="556"/>
    </row>
  </sheetData>
  <mergeCells count="14">
    <mergeCell ref="B16:B19"/>
    <mergeCell ref="C16:C19"/>
    <mergeCell ref="D16:D19"/>
    <mergeCell ref="E16:E19"/>
    <mergeCell ref="A5:A10"/>
    <mergeCell ref="B5:B10"/>
    <mergeCell ref="A11:A12"/>
    <mergeCell ref="B11:B12"/>
    <mergeCell ref="C11:C12"/>
    <mergeCell ref="A30:E30"/>
    <mergeCell ref="A27:E27"/>
    <mergeCell ref="A28:E28"/>
    <mergeCell ref="A31:E31"/>
    <mergeCell ref="D21:E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3" workbookViewId="0">
      <selection activeCell="E16" sqref="E16"/>
    </sheetView>
  </sheetViews>
  <sheetFormatPr defaultRowHeight="14.5" x14ac:dyDescent="0.35"/>
  <cols>
    <col min="1" max="1" width="18" customWidth="1"/>
    <col min="2" max="2" width="10.26953125" customWidth="1"/>
    <col min="3" max="3" width="13.81640625" customWidth="1"/>
    <col min="4" max="4" width="19.6328125" customWidth="1"/>
    <col min="5" max="5" width="19.26953125" customWidth="1"/>
  </cols>
  <sheetData>
    <row r="1" spans="1:5" x14ac:dyDescent="0.35">
      <c r="A1" s="751" t="s">
        <v>1061</v>
      </c>
    </row>
    <row r="2" spans="1:5" ht="69" customHeight="1" x14ac:dyDescent="0.35">
      <c r="A2" s="1270" t="s">
        <v>1062</v>
      </c>
      <c r="B2" s="1271"/>
      <c r="C2" s="1271"/>
      <c r="D2" s="1271"/>
      <c r="E2" s="1271"/>
    </row>
    <row r="3" spans="1:5" x14ac:dyDescent="0.35">
      <c r="A3" s="542" t="s">
        <v>1249</v>
      </c>
    </row>
    <row r="4" spans="1:5" x14ac:dyDescent="0.35">
      <c r="A4" s="542"/>
    </row>
    <row r="5" spans="1:5" x14ac:dyDescent="0.35">
      <c r="A5" s="542"/>
    </row>
    <row r="6" spans="1:5" ht="15" thickBot="1" x14ac:dyDescent="0.4">
      <c r="A6" s="751" t="s">
        <v>1372</v>
      </c>
    </row>
    <row r="7" spans="1:5" ht="42.5" thickBot="1" x14ac:dyDescent="0.4">
      <c r="A7" s="543" t="s">
        <v>1063</v>
      </c>
      <c r="B7" s="544" t="s">
        <v>1064</v>
      </c>
      <c r="C7" s="544" t="s">
        <v>1065</v>
      </c>
      <c r="D7" s="544" t="s">
        <v>1066</v>
      </c>
      <c r="E7" s="544" t="s">
        <v>1067</v>
      </c>
    </row>
    <row r="8" spans="1:5" ht="122.5" customHeight="1" x14ac:dyDescent="0.35">
      <c r="A8" s="545" t="s">
        <v>1068</v>
      </c>
      <c r="B8" s="1268" t="s">
        <v>1373</v>
      </c>
      <c r="C8" s="1268" t="s">
        <v>1069</v>
      </c>
      <c r="D8" s="1268" t="s">
        <v>1384</v>
      </c>
      <c r="E8" s="1273" t="s">
        <v>1385</v>
      </c>
    </row>
    <row r="9" spans="1:5" ht="15" thickBot="1" x14ac:dyDescent="0.4">
      <c r="A9" s="545"/>
      <c r="B9" s="1269"/>
      <c r="C9" s="1269"/>
      <c r="D9" s="1269"/>
      <c r="E9" s="1274"/>
    </row>
    <row r="10" spans="1:5" ht="43.5" customHeight="1" x14ac:dyDescent="0.35">
      <c r="A10" s="1275" t="s">
        <v>1390</v>
      </c>
      <c r="B10" s="1278"/>
      <c r="C10" s="550" t="s">
        <v>1070</v>
      </c>
      <c r="D10" s="550" t="s">
        <v>1383</v>
      </c>
      <c r="E10" s="551"/>
    </row>
    <row r="11" spans="1:5" ht="69.5" customHeight="1" x14ac:dyDescent="0.35">
      <c r="A11" s="1276"/>
      <c r="B11" s="1269"/>
      <c r="C11" s="546" t="s">
        <v>1386</v>
      </c>
      <c r="D11" s="546" t="s">
        <v>1386</v>
      </c>
      <c r="E11" s="552" t="s">
        <v>1388</v>
      </c>
    </row>
    <row r="12" spans="1:5" ht="15" thickBot="1" x14ac:dyDescent="0.4">
      <c r="A12" s="1277"/>
      <c r="B12" s="1279"/>
      <c r="C12" s="553"/>
      <c r="D12" s="553" t="s">
        <v>1387</v>
      </c>
      <c r="E12" s="554"/>
    </row>
    <row r="13" spans="1:5" ht="42" x14ac:dyDescent="0.35">
      <c r="A13" s="1283" t="s">
        <v>1377</v>
      </c>
      <c r="B13" s="1283" t="s">
        <v>1374</v>
      </c>
      <c r="C13" s="752" t="s">
        <v>1070</v>
      </c>
      <c r="D13" s="550" t="s">
        <v>1378</v>
      </c>
      <c r="E13" s="1280" t="s">
        <v>1382</v>
      </c>
    </row>
    <row r="14" spans="1:5" ht="72.5" customHeight="1" thickBot="1" x14ac:dyDescent="0.4">
      <c r="A14" s="1284"/>
      <c r="B14" s="1284"/>
      <c r="C14" s="753" t="s">
        <v>1379</v>
      </c>
      <c r="D14" s="553" t="s">
        <v>1380</v>
      </c>
      <c r="E14" s="1281"/>
    </row>
    <row r="15" spans="1:5" ht="96" customHeight="1" thickBot="1" x14ac:dyDescent="0.4">
      <c r="A15" s="548" t="s">
        <v>1072</v>
      </c>
      <c r="B15" s="547" t="s">
        <v>1374</v>
      </c>
      <c r="C15" s="547" t="s">
        <v>1073</v>
      </c>
      <c r="D15" s="547" t="s">
        <v>1389</v>
      </c>
      <c r="E15" s="750" t="s">
        <v>1381</v>
      </c>
    </row>
    <row r="16" spans="1:5" ht="15" thickBot="1" x14ac:dyDescent="0.4">
      <c r="A16" s="548"/>
      <c r="B16" s="547"/>
      <c r="C16" s="547"/>
      <c r="D16" s="547"/>
      <c r="E16" s="549" t="s">
        <v>1391</v>
      </c>
    </row>
    <row r="17" spans="1:5" x14ac:dyDescent="0.35">
      <c r="A17" s="542"/>
    </row>
    <row r="18" spans="1:5" x14ac:dyDescent="0.35">
      <c r="A18" s="542" t="s">
        <v>1074</v>
      </c>
    </row>
    <row r="19" spans="1:5" x14ac:dyDescent="0.35">
      <c r="A19" s="542" t="s">
        <v>1075</v>
      </c>
    </row>
    <row r="20" spans="1:5" x14ac:dyDescent="0.35">
      <c r="A20" s="542"/>
    </row>
    <row r="21" spans="1:5" x14ac:dyDescent="0.35">
      <c r="A21" s="542"/>
    </row>
    <row r="22" spans="1:5" x14ac:dyDescent="0.35">
      <c r="A22" s="542"/>
    </row>
    <row r="23" spans="1:5" x14ac:dyDescent="0.35">
      <c r="A23" s="542"/>
    </row>
    <row r="24" spans="1:5" x14ac:dyDescent="0.35">
      <c r="A24" s="542"/>
    </row>
    <row r="25" spans="1:5" x14ac:dyDescent="0.35">
      <c r="A25" s="751" t="s">
        <v>1076</v>
      </c>
    </row>
    <row r="26" spans="1:5" ht="62.5" customHeight="1" x14ac:dyDescent="0.35">
      <c r="A26" s="1270" t="s">
        <v>1062</v>
      </c>
      <c r="B26" s="1271"/>
      <c r="C26" s="1271"/>
      <c r="D26" s="1271"/>
      <c r="E26" s="1271"/>
    </row>
    <row r="27" spans="1:5" x14ac:dyDescent="0.35">
      <c r="A27" s="542"/>
    </row>
    <row r="28" spans="1:5" ht="15" thickBot="1" x14ac:dyDescent="0.4">
      <c r="A28" s="1282" t="s">
        <v>1077</v>
      </c>
      <c r="B28" s="1282"/>
      <c r="C28" s="1282"/>
      <c r="D28" s="1282"/>
      <c r="E28" s="1282"/>
    </row>
    <row r="29" spans="1:5" ht="15" thickBot="1" x14ac:dyDescent="0.4">
      <c r="A29" s="543"/>
      <c r="B29" s="544"/>
      <c r="C29" s="544"/>
      <c r="D29" s="544"/>
      <c r="E29" s="544"/>
    </row>
    <row r="30" spans="1:5" ht="15" thickBot="1" x14ac:dyDescent="0.4">
      <c r="A30" s="548"/>
      <c r="B30" s="547"/>
      <c r="C30" s="547"/>
      <c r="D30" s="547"/>
      <c r="E30" s="547"/>
    </row>
    <row r="31" spans="1:5" x14ac:dyDescent="0.35">
      <c r="A31" s="1268" t="s">
        <v>1376</v>
      </c>
      <c r="B31" s="1268"/>
      <c r="C31" s="1268"/>
      <c r="D31" s="1268"/>
      <c r="E31" s="1268"/>
    </row>
    <row r="32" spans="1:5" ht="15" thickBot="1" x14ac:dyDescent="0.4">
      <c r="A32" s="1272"/>
      <c r="B32" s="1272"/>
      <c r="C32" s="1272"/>
      <c r="D32" s="1272"/>
      <c r="E32" s="1272"/>
    </row>
    <row r="33" spans="1:5" ht="42" x14ac:dyDescent="0.35">
      <c r="A33" s="1268" t="s">
        <v>1068</v>
      </c>
      <c r="B33" s="1268" t="s">
        <v>1375</v>
      </c>
      <c r="C33" s="546" t="s">
        <v>1070</v>
      </c>
      <c r="D33" s="546" t="s">
        <v>1070</v>
      </c>
      <c r="E33" s="1268" t="s">
        <v>1393</v>
      </c>
    </row>
    <row r="34" spans="1:5" ht="42" x14ac:dyDescent="0.35">
      <c r="A34" s="1269"/>
      <c r="B34" s="1269"/>
      <c r="C34" s="546" t="s">
        <v>1071</v>
      </c>
      <c r="D34" s="546" t="s">
        <v>1078</v>
      </c>
      <c r="E34" s="1269"/>
    </row>
    <row r="35" spans="1:5" ht="42" x14ac:dyDescent="0.35">
      <c r="A35" s="1269"/>
      <c r="B35" s="1269"/>
      <c r="C35" s="546"/>
      <c r="D35" s="546" t="s">
        <v>1071</v>
      </c>
      <c r="E35" s="1269"/>
    </row>
    <row r="36" spans="1:5" x14ac:dyDescent="0.35">
      <c r="A36" s="1269"/>
      <c r="B36" s="1269"/>
      <c r="C36" s="457"/>
      <c r="D36" s="546" t="s">
        <v>1392</v>
      </c>
      <c r="E36" s="1269"/>
    </row>
    <row r="37" spans="1:5" ht="15" thickBot="1" x14ac:dyDescent="0.4">
      <c r="A37" s="548"/>
      <c r="B37" s="547"/>
      <c r="C37" s="547"/>
      <c r="D37" s="547"/>
      <c r="E37" s="547"/>
    </row>
    <row r="38" spans="1:5" ht="15" thickBot="1" x14ac:dyDescent="0.4">
      <c r="A38" s="548"/>
      <c r="B38" s="547"/>
      <c r="C38" s="547"/>
      <c r="D38" s="547"/>
      <c r="E38" s="547"/>
    </row>
    <row r="39" spans="1:5" x14ac:dyDescent="0.35">
      <c r="A39" s="542"/>
    </row>
    <row r="40" spans="1:5" x14ac:dyDescent="0.35">
      <c r="A40" s="542" t="s">
        <v>1079</v>
      </c>
    </row>
    <row r="41" spans="1:5" x14ac:dyDescent="0.35">
      <c r="A41" s="542"/>
    </row>
    <row r="42" spans="1:5" x14ac:dyDescent="0.35">
      <c r="A42" s="455"/>
    </row>
  </sheetData>
  <mergeCells count="20">
    <mergeCell ref="E13:E14"/>
    <mergeCell ref="A28:E28"/>
    <mergeCell ref="A13:A14"/>
    <mergeCell ref="B13:B14"/>
    <mergeCell ref="A33:A36"/>
    <mergeCell ref="B33:B36"/>
    <mergeCell ref="E33:E36"/>
    <mergeCell ref="A26:E26"/>
    <mergeCell ref="A2:E2"/>
    <mergeCell ref="A31:A32"/>
    <mergeCell ref="B31:B32"/>
    <mergeCell ref="C31:C32"/>
    <mergeCell ref="D31:D32"/>
    <mergeCell ref="E31:E32"/>
    <mergeCell ref="B8:B9"/>
    <mergeCell ref="C8:C9"/>
    <mergeCell ref="D8:D9"/>
    <mergeCell ref="E8:E9"/>
    <mergeCell ref="A10:A12"/>
    <mergeCell ref="B10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E32" sqref="E32"/>
    </sheetView>
  </sheetViews>
  <sheetFormatPr defaultRowHeight="14.5" x14ac:dyDescent="0.35"/>
  <cols>
    <col min="1" max="1" width="3.81640625" customWidth="1"/>
    <col min="2" max="2" width="16.7265625" customWidth="1"/>
    <col min="3" max="3" width="9.36328125" customWidth="1"/>
    <col min="4" max="4" width="5.26953125" customWidth="1"/>
    <col min="5" max="5" width="8.1796875" customWidth="1"/>
    <col min="6" max="6" width="6.1796875" customWidth="1"/>
    <col min="7" max="7" width="21.453125" customWidth="1"/>
    <col min="8" max="8" width="13.26953125" customWidth="1"/>
    <col min="9" max="9" width="9.6328125" customWidth="1"/>
  </cols>
  <sheetData>
    <row r="1" spans="1:9" x14ac:dyDescent="0.35">
      <c r="A1" s="440"/>
      <c r="B1" s="1"/>
      <c r="C1" s="1"/>
      <c r="D1" s="1"/>
      <c r="E1" s="1"/>
      <c r="F1" s="1"/>
      <c r="G1" s="1"/>
      <c r="H1" s="1"/>
    </row>
    <row r="2" spans="1:9" x14ac:dyDescent="0.35">
      <c r="A2" s="441"/>
      <c r="B2" s="1297" t="s">
        <v>883</v>
      </c>
      <c r="C2" s="1297"/>
      <c r="D2" s="1297"/>
      <c r="E2" s="1297"/>
      <c r="F2" s="1297"/>
      <c r="G2" s="1297"/>
      <c r="H2" s="1"/>
    </row>
    <row r="3" spans="1:9" x14ac:dyDescent="0.35">
      <c r="A3" s="441"/>
      <c r="B3" s="441"/>
      <c r="C3" s="441"/>
      <c r="D3" s="441" t="s">
        <v>469</v>
      </c>
      <c r="E3" s="441"/>
      <c r="F3" s="441"/>
      <c r="G3" s="441"/>
      <c r="H3" s="1"/>
    </row>
    <row r="4" spans="1:9" ht="24" x14ac:dyDescent="0.35">
      <c r="A4" s="442" t="s">
        <v>275</v>
      </c>
      <c r="B4" s="443" t="s">
        <v>276</v>
      </c>
      <c r="C4" s="443" t="s">
        <v>1296</v>
      </c>
      <c r="D4" s="443"/>
      <c r="E4" s="443" t="s">
        <v>1410</v>
      </c>
      <c r="F4" s="443"/>
      <c r="G4" s="445"/>
      <c r="H4" s="445" t="s">
        <v>825</v>
      </c>
    </row>
    <row r="5" spans="1:9" x14ac:dyDescent="0.35">
      <c r="A5" s="442">
        <v>1</v>
      </c>
      <c r="B5" s="917"/>
      <c r="C5" s="917"/>
      <c r="D5" s="443"/>
      <c r="E5" s="917"/>
      <c r="F5" s="443"/>
      <c r="G5" s="445"/>
      <c r="H5" s="445"/>
    </row>
    <row r="6" spans="1:9" ht="37" customHeight="1" x14ac:dyDescent="0.35">
      <c r="A6" s="442"/>
      <c r="B6" s="1287" t="s">
        <v>827</v>
      </c>
      <c r="C6" s="1287">
        <v>295.25</v>
      </c>
      <c r="D6" s="895"/>
      <c r="E6" s="1300">
        <v>446.98</v>
      </c>
      <c r="F6" s="446"/>
      <c r="G6" s="444" t="s">
        <v>1422</v>
      </c>
      <c r="H6" s="447" t="s">
        <v>1421</v>
      </c>
    </row>
    <row r="7" spans="1:9" ht="42" customHeight="1" x14ac:dyDescent="0.35">
      <c r="A7" s="442" t="s">
        <v>28</v>
      </c>
      <c r="B7" s="1288"/>
      <c r="C7" s="1288"/>
      <c r="D7" s="446"/>
      <c r="E7" s="1302"/>
      <c r="F7" s="446"/>
      <c r="G7" s="444" t="s">
        <v>1484</v>
      </c>
      <c r="H7" s="447" t="s">
        <v>1485</v>
      </c>
    </row>
    <row r="8" spans="1:9" ht="74" customHeight="1" x14ac:dyDescent="0.35">
      <c r="A8" s="442" t="s">
        <v>30</v>
      </c>
      <c r="B8" s="444" t="s">
        <v>277</v>
      </c>
      <c r="C8" s="444">
        <v>223.66</v>
      </c>
      <c r="D8" s="446"/>
      <c r="E8" s="896">
        <v>705.88</v>
      </c>
      <c r="F8" s="446"/>
      <c r="G8" s="444" t="s">
        <v>1432</v>
      </c>
      <c r="H8" s="448" t="s">
        <v>882</v>
      </c>
    </row>
    <row r="9" spans="1:9" ht="74" customHeight="1" x14ac:dyDescent="0.35">
      <c r="A9" s="442"/>
      <c r="B9" s="444" t="s">
        <v>1493</v>
      </c>
      <c r="C9" s="444"/>
      <c r="D9" s="446"/>
      <c r="E9" s="896">
        <v>36.71</v>
      </c>
      <c r="F9" s="446"/>
      <c r="G9" s="444" t="s">
        <v>1494</v>
      </c>
      <c r="H9" s="448" t="s">
        <v>1495</v>
      </c>
    </row>
    <row r="10" spans="1:9" ht="57.5" customHeight="1" x14ac:dyDescent="0.35">
      <c r="A10" s="442" t="s">
        <v>206</v>
      </c>
      <c r="B10" s="444" t="s">
        <v>892</v>
      </c>
      <c r="C10" s="444">
        <v>223.03</v>
      </c>
      <c r="D10" s="446"/>
      <c r="E10" s="897">
        <v>208.05</v>
      </c>
      <c r="F10" s="446"/>
      <c r="G10" s="444" t="s">
        <v>877</v>
      </c>
      <c r="H10" s="448" t="s">
        <v>882</v>
      </c>
    </row>
    <row r="11" spans="1:9" ht="47" customHeight="1" x14ac:dyDescent="0.35">
      <c r="A11" s="1294" t="s">
        <v>278</v>
      </c>
      <c r="B11" s="1294" t="s">
        <v>279</v>
      </c>
      <c r="C11" s="1294">
        <v>389.29</v>
      </c>
      <c r="D11" s="446"/>
      <c r="E11" s="1300">
        <v>380.16</v>
      </c>
      <c r="F11" s="446"/>
      <c r="G11" s="444" t="s">
        <v>1437</v>
      </c>
      <c r="H11" s="447" t="s">
        <v>1433</v>
      </c>
    </row>
    <row r="12" spans="1:9" ht="44.5" customHeight="1" x14ac:dyDescent="0.35">
      <c r="A12" s="1295"/>
      <c r="B12" s="1295"/>
      <c r="C12" s="1295"/>
      <c r="D12" s="446"/>
      <c r="E12" s="1301"/>
      <c r="F12" s="446"/>
      <c r="G12" s="444" t="s">
        <v>1436</v>
      </c>
      <c r="H12" s="447" t="s">
        <v>1434</v>
      </c>
    </row>
    <row r="13" spans="1:9" ht="37.5" customHeight="1" x14ac:dyDescent="0.35">
      <c r="A13" s="1295"/>
      <c r="B13" s="1295"/>
      <c r="C13" s="1295"/>
      <c r="D13" s="446"/>
      <c r="E13" s="1301"/>
      <c r="F13" s="446"/>
      <c r="G13" s="444" t="s">
        <v>1440</v>
      </c>
      <c r="H13" s="447" t="s">
        <v>1435</v>
      </c>
    </row>
    <row r="14" spans="1:9" ht="36" customHeight="1" x14ac:dyDescent="0.35">
      <c r="A14" s="1296"/>
      <c r="B14" s="1296"/>
      <c r="C14" s="1296"/>
      <c r="D14" s="446"/>
      <c r="E14" s="1302"/>
      <c r="F14" s="446"/>
      <c r="G14" s="444" t="s">
        <v>1439</v>
      </c>
      <c r="H14" s="447" t="s">
        <v>1438</v>
      </c>
    </row>
    <row r="15" spans="1:9" ht="48" customHeight="1" x14ac:dyDescent="0.35">
      <c r="A15" s="442" t="s">
        <v>280</v>
      </c>
      <c r="B15" s="444" t="s">
        <v>281</v>
      </c>
      <c r="C15" s="444">
        <v>211.3</v>
      </c>
      <c r="D15" s="446"/>
      <c r="E15" s="446">
        <v>213.9</v>
      </c>
      <c r="F15" s="446"/>
      <c r="G15" s="444" t="s">
        <v>1420</v>
      </c>
      <c r="H15" s="447" t="s">
        <v>1419</v>
      </c>
    </row>
    <row r="16" spans="1:9" ht="24.5" x14ac:dyDescent="0.35">
      <c r="A16" s="442" t="s">
        <v>32</v>
      </c>
      <c r="B16" s="444" t="s">
        <v>1491</v>
      </c>
      <c r="C16" s="444">
        <v>30.6</v>
      </c>
      <c r="D16" s="446"/>
      <c r="E16" s="446">
        <v>36</v>
      </c>
      <c r="F16" s="446"/>
      <c r="G16" s="444" t="s">
        <v>1518</v>
      </c>
      <c r="H16" s="447" t="s">
        <v>975</v>
      </c>
      <c r="I16" s="41"/>
    </row>
    <row r="17" spans="1:9" ht="48.5" x14ac:dyDescent="0.35">
      <c r="A17" s="442">
        <v>8</v>
      </c>
      <c r="B17" s="444" t="s">
        <v>1492</v>
      </c>
      <c r="C17" s="444">
        <v>69.33</v>
      </c>
      <c r="D17" s="446"/>
      <c r="E17" s="446">
        <v>166.34</v>
      </c>
      <c r="F17" s="446"/>
      <c r="G17" s="447" t="s">
        <v>1519</v>
      </c>
      <c r="H17" s="447" t="s">
        <v>1520</v>
      </c>
      <c r="I17" s="41"/>
    </row>
    <row r="18" spans="1:9" ht="36.5" x14ac:dyDescent="0.35">
      <c r="A18" s="442">
        <v>9</v>
      </c>
      <c r="B18" s="444" t="s">
        <v>992</v>
      </c>
      <c r="C18" s="444">
        <v>36.5</v>
      </c>
      <c r="D18" s="446"/>
      <c r="E18" s="897">
        <v>18.835999999999999</v>
      </c>
      <c r="F18" s="446"/>
      <c r="G18" s="444" t="s">
        <v>1486</v>
      </c>
      <c r="H18" s="447" t="s">
        <v>1487</v>
      </c>
      <c r="I18" s="41"/>
    </row>
    <row r="19" spans="1:9" ht="55" customHeight="1" x14ac:dyDescent="0.35">
      <c r="A19" s="442">
        <v>10</v>
      </c>
      <c r="B19" s="444" t="s">
        <v>1287</v>
      </c>
      <c r="C19" s="444"/>
      <c r="D19" s="446"/>
      <c r="E19" s="446">
        <f>19.5*4</f>
        <v>78</v>
      </c>
      <c r="F19" s="446"/>
      <c r="G19" s="444" t="s">
        <v>1477</v>
      </c>
      <c r="H19" s="447" t="s">
        <v>1478</v>
      </c>
    </row>
    <row r="20" spans="1:9" ht="44.5" customHeight="1" x14ac:dyDescent="0.35">
      <c r="A20" s="442">
        <v>11</v>
      </c>
      <c r="B20" s="444" t="s">
        <v>1479</v>
      </c>
      <c r="C20" s="444"/>
      <c r="D20" s="446"/>
      <c r="E20" s="446">
        <f>3.55*12</f>
        <v>42.599999999999994</v>
      </c>
      <c r="F20" s="446"/>
      <c r="G20" s="444" t="s">
        <v>1480</v>
      </c>
      <c r="H20" s="447" t="s">
        <v>1481</v>
      </c>
    </row>
    <row r="21" spans="1:9" x14ac:dyDescent="0.35">
      <c r="A21" s="480">
        <v>10</v>
      </c>
      <c r="B21" s="1298" t="s">
        <v>283</v>
      </c>
      <c r="C21" s="1299"/>
      <c r="D21" s="1299"/>
      <c r="E21" s="1299"/>
      <c r="F21" s="1299"/>
      <c r="G21" s="1299"/>
      <c r="H21" s="1"/>
    </row>
    <row r="22" spans="1:9" ht="84.5" customHeight="1" x14ac:dyDescent="0.35">
      <c r="A22" s="891">
        <v>1</v>
      </c>
      <c r="B22" s="444" t="s">
        <v>1431</v>
      </c>
      <c r="C22" s="444">
        <v>95</v>
      </c>
      <c r="D22" s="446"/>
      <c r="E22" s="446">
        <v>99.71</v>
      </c>
      <c r="F22" s="446"/>
      <c r="G22" s="444" t="s">
        <v>1429</v>
      </c>
      <c r="H22" s="447" t="s">
        <v>1430</v>
      </c>
    </row>
    <row r="23" spans="1:9" ht="49.5" customHeight="1" x14ac:dyDescent="0.35">
      <c r="A23" s="891">
        <v>2</v>
      </c>
      <c r="B23" s="444" t="s">
        <v>284</v>
      </c>
      <c r="C23" s="444">
        <v>10.02</v>
      </c>
      <c r="D23" s="446"/>
      <c r="E23" s="446">
        <v>25</v>
      </c>
      <c r="F23" s="446"/>
      <c r="G23" s="444" t="s">
        <v>826</v>
      </c>
      <c r="H23" s="447" t="s">
        <v>893</v>
      </c>
    </row>
    <row r="24" spans="1:9" ht="34.5" customHeight="1" x14ac:dyDescent="0.35">
      <c r="A24" s="891">
        <v>3</v>
      </c>
      <c r="B24" s="444" t="s">
        <v>1488</v>
      </c>
      <c r="C24" s="444">
        <v>19.34</v>
      </c>
      <c r="D24" s="446"/>
      <c r="E24" s="446">
        <v>34.340000000000003</v>
      </c>
      <c r="F24" s="446"/>
      <c r="G24" s="444" t="s">
        <v>1489</v>
      </c>
      <c r="H24" s="447" t="s">
        <v>1490</v>
      </c>
    </row>
    <row r="25" spans="1:9" ht="48.5" customHeight="1" x14ac:dyDescent="0.35">
      <c r="A25" s="1285">
        <v>4</v>
      </c>
      <c r="B25" s="1287" t="s">
        <v>1082</v>
      </c>
      <c r="C25" s="1287">
        <v>11.4</v>
      </c>
      <c r="D25" s="446"/>
      <c r="E25" s="1289">
        <v>12.16</v>
      </c>
      <c r="F25" s="446"/>
      <c r="G25" s="444" t="s">
        <v>1414</v>
      </c>
      <c r="H25" s="447" t="s">
        <v>1413</v>
      </c>
    </row>
    <row r="26" spans="1:9" ht="35.5" x14ac:dyDescent="0.35">
      <c r="A26" s="1286"/>
      <c r="B26" s="1288"/>
      <c r="C26" s="1288"/>
      <c r="D26" s="446"/>
      <c r="E26" s="1290"/>
      <c r="F26" s="446"/>
      <c r="G26" s="444" t="s">
        <v>1416</v>
      </c>
      <c r="H26" s="444" t="s">
        <v>1415</v>
      </c>
    </row>
    <row r="27" spans="1:9" ht="24.5" x14ac:dyDescent="0.35">
      <c r="A27" s="892">
        <v>5</v>
      </c>
      <c r="B27" s="444" t="s">
        <v>1411</v>
      </c>
      <c r="C27" s="444">
        <v>9.3000000000000007</v>
      </c>
      <c r="D27" s="446"/>
      <c r="E27" s="446">
        <v>23.6</v>
      </c>
      <c r="F27" s="446"/>
      <c r="G27" s="442" t="s">
        <v>1425</v>
      </c>
      <c r="H27" s="447" t="s">
        <v>1412</v>
      </c>
    </row>
    <row r="28" spans="1:9" ht="37" customHeight="1" x14ac:dyDescent="0.35">
      <c r="A28" s="892">
        <v>6</v>
      </c>
      <c r="B28" s="444" t="s">
        <v>1053</v>
      </c>
      <c r="C28" s="444">
        <v>165.6</v>
      </c>
      <c r="D28" s="442"/>
      <c r="E28" s="442">
        <v>165.52</v>
      </c>
      <c r="F28" s="442"/>
      <c r="G28" s="444" t="s">
        <v>1483</v>
      </c>
      <c r="H28" s="444" t="s">
        <v>1482</v>
      </c>
    </row>
    <row r="29" spans="1:9" ht="57" customHeight="1" x14ac:dyDescent="0.35">
      <c r="A29" s="892">
        <v>7</v>
      </c>
      <c r="B29" s="444" t="s">
        <v>1428</v>
      </c>
      <c r="C29" s="444"/>
      <c r="D29" s="442"/>
      <c r="E29" s="442">
        <v>14.4</v>
      </c>
      <c r="F29" s="442"/>
      <c r="G29" s="444" t="s">
        <v>1427</v>
      </c>
      <c r="H29" s="444" t="s">
        <v>1426</v>
      </c>
    </row>
    <row r="30" spans="1:9" ht="24" customHeight="1" x14ac:dyDescent="0.35">
      <c r="A30" s="892">
        <v>8</v>
      </c>
      <c r="B30" s="444" t="s">
        <v>1038</v>
      </c>
      <c r="C30" s="444"/>
      <c r="D30" s="442"/>
      <c r="E30" s="442">
        <v>7.32</v>
      </c>
      <c r="F30" s="442"/>
      <c r="G30" s="444" t="s">
        <v>1515</v>
      </c>
      <c r="H30" s="444" t="s">
        <v>1516</v>
      </c>
    </row>
    <row r="31" spans="1:9" ht="58.5" customHeight="1" x14ac:dyDescent="0.35">
      <c r="A31" s="892">
        <v>9</v>
      </c>
      <c r="B31" s="898" t="s">
        <v>881</v>
      </c>
      <c r="C31" s="444">
        <v>29.64</v>
      </c>
      <c r="D31" s="442"/>
      <c r="E31" s="442">
        <v>30.29</v>
      </c>
      <c r="F31" s="442"/>
      <c r="G31" s="444" t="s">
        <v>1424</v>
      </c>
      <c r="H31" s="444" t="s">
        <v>1423</v>
      </c>
    </row>
    <row r="32" spans="1:9" x14ac:dyDescent="0.35">
      <c r="A32" s="442"/>
      <c r="B32" s="442" t="s">
        <v>884</v>
      </c>
      <c r="C32" s="449">
        <f>SUM(C6:C31)</f>
        <v>1819.2599999999998</v>
      </c>
      <c r="D32" s="449">
        <f>SUM(D6:D31)</f>
        <v>0</v>
      </c>
      <c r="E32" s="449">
        <f>SUM(E6:E31)</f>
        <v>2745.7960000000003</v>
      </c>
      <c r="F32" s="449">
        <f>SUM(F6:F31)</f>
        <v>0</v>
      </c>
      <c r="G32" s="442"/>
      <c r="H32" s="448"/>
    </row>
    <row r="33" spans="1:8" x14ac:dyDescent="0.35">
      <c r="A33" s="450"/>
      <c r="B33" s="450"/>
      <c r="C33" s="450"/>
      <c r="D33" s="1"/>
      <c r="E33" s="1"/>
      <c r="F33" s="1"/>
      <c r="G33" s="1"/>
      <c r="H33" s="1"/>
    </row>
    <row r="34" spans="1:8" x14ac:dyDescent="0.35">
      <c r="A34" s="1"/>
      <c r="B34" s="1" t="s">
        <v>10</v>
      </c>
      <c r="C34" s="1"/>
      <c r="D34" s="1"/>
      <c r="E34" s="1"/>
      <c r="F34" s="1"/>
      <c r="G34" s="1" t="s">
        <v>963</v>
      </c>
      <c r="H34" s="1"/>
    </row>
    <row r="35" spans="1:8" x14ac:dyDescent="0.35">
      <c r="A35" s="41"/>
      <c r="B35" s="41"/>
      <c r="C35" s="41"/>
      <c r="D35" s="41"/>
      <c r="E35" s="41"/>
      <c r="F35" s="41"/>
      <c r="G35" s="41"/>
      <c r="H35" s="41"/>
    </row>
    <row r="40" spans="1:8" x14ac:dyDescent="0.35">
      <c r="B40" s="1291" t="s">
        <v>892</v>
      </c>
      <c r="C40" s="1292"/>
      <c r="D40" s="1292"/>
      <c r="E40" s="1292"/>
      <c r="F40" s="1292"/>
      <c r="G40" s="1293"/>
    </row>
    <row r="41" spans="1:8" x14ac:dyDescent="0.35">
      <c r="B41" s="225"/>
      <c r="C41" s="225"/>
      <c r="D41" s="240"/>
      <c r="E41" s="240">
        <v>2018</v>
      </c>
      <c r="F41" s="240"/>
      <c r="G41" s="225" t="s">
        <v>878</v>
      </c>
    </row>
    <row r="42" spans="1:8" ht="58" x14ac:dyDescent="0.35">
      <c r="A42" s="41"/>
      <c r="B42" s="104" t="s">
        <v>879</v>
      </c>
      <c r="C42" s="104"/>
      <c r="D42" s="103"/>
      <c r="E42" s="103">
        <v>20</v>
      </c>
      <c r="F42" s="103"/>
      <c r="G42" s="104" t="s">
        <v>1499</v>
      </c>
    </row>
    <row r="43" spans="1:8" ht="43.5" x14ac:dyDescent="0.35">
      <c r="A43" s="41"/>
      <c r="B43" s="104" t="s">
        <v>1504</v>
      </c>
      <c r="C43" s="104"/>
      <c r="D43" s="103"/>
      <c r="E43" s="103">
        <v>34.200000000000003</v>
      </c>
      <c r="F43" s="103"/>
      <c r="G43" s="104" t="s">
        <v>1505</v>
      </c>
    </row>
    <row r="44" spans="1:8" ht="58" x14ac:dyDescent="0.35">
      <c r="A44" s="41"/>
      <c r="B44" s="104" t="s">
        <v>1506</v>
      </c>
      <c r="C44" s="104"/>
      <c r="D44" s="103"/>
      <c r="E44" s="103">
        <v>15</v>
      </c>
      <c r="F44" s="103"/>
      <c r="G44" s="104" t="s">
        <v>1507</v>
      </c>
    </row>
    <row r="45" spans="1:8" ht="58" x14ac:dyDescent="0.35">
      <c r="A45" s="41"/>
      <c r="B45" s="104" t="s">
        <v>1502</v>
      </c>
      <c r="C45" s="104"/>
      <c r="D45" s="103"/>
      <c r="E45" s="103">
        <v>8.5</v>
      </c>
      <c r="F45" s="103"/>
      <c r="G45" s="104" t="s">
        <v>1503</v>
      </c>
    </row>
    <row r="46" spans="1:8" ht="29" x14ac:dyDescent="0.35">
      <c r="A46" s="41"/>
      <c r="B46" s="104" t="s">
        <v>1501</v>
      </c>
      <c r="C46" s="104"/>
      <c r="D46" s="103"/>
      <c r="E46" s="103">
        <v>49.5</v>
      </c>
      <c r="F46" s="103"/>
      <c r="G46" s="104" t="s">
        <v>1500</v>
      </c>
    </row>
    <row r="47" spans="1:8" ht="116" x14ac:dyDescent="0.35">
      <c r="A47" s="41"/>
      <c r="B47" s="104" t="s">
        <v>1514</v>
      </c>
      <c r="C47" s="104"/>
      <c r="D47" s="103"/>
      <c r="E47" s="103">
        <v>32.6</v>
      </c>
      <c r="F47" s="103"/>
      <c r="G47" s="104" t="s">
        <v>1496</v>
      </c>
    </row>
    <row r="48" spans="1:8" ht="43.5" x14ac:dyDescent="0.35">
      <c r="A48" s="41"/>
      <c r="B48" s="104" t="s">
        <v>1508</v>
      </c>
      <c r="C48" s="104"/>
      <c r="D48" s="103"/>
      <c r="E48" s="103">
        <v>14.5</v>
      </c>
      <c r="F48" s="103"/>
      <c r="G48" s="104" t="s">
        <v>1509</v>
      </c>
    </row>
    <row r="49" spans="1:7" ht="58" x14ac:dyDescent="0.35">
      <c r="A49" s="41"/>
      <c r="B49" s="104" t="s">
        <v>1510</v>
      </c>
      <c r="C49" s="104"/>
      <c r="D49" s="103"/>
      <c r="E49" s="103">
        <v>17</v>
      </c>
      <c r="F49" s="103"/>
      <c r="G49" s="104" t="s">
        <v>1511</v>
      </c>
    </row>
    <row r="50" spans="1:7" ht="72.5" x14ac:dyDescent="0.35">
      <c r="A50" s="41"/>
      <c r="B50" s="104" t="s">
        <v>1512</v>
      </c>
      <c r="C50" s="104"/>
      <c r="D50" s="103"/>
      <c r="E50" s="103">
        <v>10</v>
      </c>
      <c r="F50" s="103"/>
      <c r="G50" s="104" t="s">
        <v>1513</v>
      </c>
    </row>
    <row r="51" spans="1:7" ht="43.5" x14ac:dyDescent="0.35">
      <c r="A51" s="41"/>
      <c r="B51" s="104" t="s">
        <v>1497</v>
      </c>
      <c r="C51" s="104"/>
      <c r="D51" s="103"/>
      <c r="E51" s="103">
        <v>6.75</v>
      </c>
      <c r="F51" s="103"/>
      <c r="G51" s="104" t="s">
        <v>1498</v>
      </c>
    </row>
    <row r="52" spans="1:7" x14ac:dyDescent="0.35">
      <c r="A52" s="41"/>
      <c r="B52" s="104" t="s">
        <v>880</v>
      </c>
      <c r="C52" s="103">
        <f>SUM(C42:C51)</f>
        <v>0</v>
      </c>
      <c r="D52" s="103"/>
      <c r="E52" s="103">
        <f>SUM(E42:E51)</f>
        <v>208.05</v>
      </c>
      <c r="F52" s="103"/>
      <c r="G52" s="103"/>
    </row>
    <row r="53" spans="1:7" x14ac:dyDescent="0.35">
      <c r="B53" s="500"/>
      <c r="C53" s="29"/>
      <c r="D53" s="29"/>
      <c r="E53" s="29"/>
      <c r="F53" s="29"/>
      <c r="G53" s="29"/>
    </row>
    <row r="54" spans="1:7" x14ac:dyDescent="0.35">
      <c r="B54" s="500" t="s">
        <v>1014</v>
      </c>
      <c r="C54" s="29"/>
      <c r="D54" s="29"/>
      <c r="E54" s="29"/>
      <c r="F54" s="29" t="s">
        <v>968</v>
      </c>
      <c r="G54" s="29"/>
    </row>
    <row r="66" ht="30" customHeight="1" x14ac:dyDescent="0.35"/>
    <row r="68" ht="27.5" customHeight="1" x14ac:dyDescent="0.35"/>
    <row r="74" ht="66.5" customHeight="1" x14ac:dyDescent="0.35"/>
    <row r="81" ht="30" customHeight="1" x14ac:dyDescent="0.35"/>
  </sheetData>
  <mergeCells count="14">
    <mergeCell ref="B2:G2"/>
    <mergeCell ref="B21:G21"/>
    <mergeCell ref="B25:B26"/>
    <mergeCell ref="B11:B14"/>
    <mergeCell ref="C11:C14"/>
    <mergeCell ref="E11:E14"/>
    <mergeCell ref="E6:E7"/>
    <mergeCell ref="B6:B7"/>
    <mergeCell ref="A25:A26"/>
    <mergeCell ref="C25:C26"/>
    <mergeCell ref="E25:E26"/>
    <mergeCell ref="C6:C7"/>
    <mergeCell ref="B40:G40"/>
    <mergeCell ref="A11:A1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63" workbookViewId="0">
      <selection activeCell="A42" sqref="A42:H79"/>
    </sheetView>
  </sheetViews>
  <sheetFormatPr defaultRowHeight="14.5" x14ac:dyDescent="0.35"/>
  <cols>
    <col min="1" max="1" width="6" style="41" customWidth="1"/>
    <col min="2" max="2" width="48.90625" style="41" customWidth="1"/>
    <col min="3" max="3" width="12.08984375" style="41" customWidth="1"/>
    <col min="4" max="4" width="11" style="41" customWidth="1"/>
    <col min="5" max="5" width="9.6328125" style="41" customWidth="1"/>
    <col min="6" max="6" width="9.81640625" style="41" customWidth="1"/>
    <col min="7" max="7" width="10.36328125" style="41" customWidth="1"/>
    <col min="8" max="8" width="9.90625" style="41" customWidth="1"/>
    <col min="9" max="16384" width="8.7265625" style="41"/>
  </cols>
  <sheetData>
    <row r="1" spans="1:8" ht="33.75" customHeight="1" x14ac:dyDescent="0.35">
      <c r="B1" s="540" t="s">
        <v>786</v>
      </c>
      <c r="C1" s="540"/>
    </row>
    <row r="2" spans="1:8" x14ac:dyDescent="0.35">
      <c r="B2" s="360"/>
      <c r="C2" s="540"/>
      <c r="D2" s="41" t="s">
        <v>339</v>
      </c>
    </row>
    <row r="3" spans="1:8" ht="29" x14ac:dyDescent="0.35">
      <c r="A3" s="103" t="s">
        <v>402</v>
      </c>
      <c r="B3" s="103" t="s">
        <v>188</v>
      </c>
      <c r="C3" s="104" t="s">
        <v>1296</v>
      </c>
      <c r="D3" s="103" t="s">
        <v>1329</v>
      </c>
      <c r="E3" s="103" t="s">
        <v>1309</v>
      </c>
      <c r="F3" s="103" t="s">
        <v>1470</v>
      </c>
      <c r="G3" s="103" t="s">
        <v>1471</v>
      </c>
      <c r="H3" s="103" t="s">
        <v>1418</v>
      </c>
    </row>
    <row r="4" spans="1:8" x14ac:dyDescent="0.35">
      <c r="A4" s="103">
        <v>1</v>
      </c>
      <c r="B4" s="83" t="s">
        <v>403</v>
      </c>
      <c r="C4" s="103"/>
      <c r="D4" s="103"/>
      <c r="E4" s="103"/>
      <c r="F4" s="103"/>
      <c r="G4" s="103"/>
      <c r="H4" s="103"/>
    </row>
    <row r="5" spans="1:8" ht="22.5" customHeight="1" x14ac:dyDescent="0.35">
      <c r="A5" s="580" t="s">
        <v>1120</v>
      </c>
      <c r="B5" s="232" t="s">
        <v>1121</v>
      </c>
      <c r="C5" s="232">
        <f>C6+C9</f>
        <v>5381.66</v>
      </c>
      <c r="D5" s="232">
        <f t="shared" ref="D5:H5" si="0">D6+D9</f>
        <v>7572.91</v>
      </c>
      <c r="E5" s="232">
        <f t="shared" si="0"/>
        <v>7285.46</v>
      </c>
      <c r="F5" s="232">
        <f t="shared" si="0"/>
        <v>8349.23</v>
      </c>
      <c r="G5" s="232">
        <f t="shared" si="0"/>
        <v>8033.0400000000009</v>
      </c>
      <c r="H5" s="232">
        <f t="shared" si="0"/>
        <v>9204.7400000000016</v>
      </c>
    </row>
    <row r="6" spans="1:8" ht="25.5" customHeight="1" x14ac:dyDescent="0.35">
      <c r="A6" s="576" t="s">
        <v>1122</v>
      </c>
      <c r="B6" s="104" t="s">
        <v>1017</v>
      </c>
      <c r="C6" s="103">
        <f>C7+C8</f>
        <v>3691.38</v>
      </c>
      <c r="D6" s="103">
        <f t="shared" ref="D6:H6" si="1">D7+D8</f>
        <v>6522.91</v>
      </c>
      <c r="E6" s="103">
        <f t="shared" si="1"/>
        <v>6182.96</v>
      </c>
      <c r="F6" s="103">
        <f t="shared" si="1"/>
        <v>7191.5999999999995</v>
      </c>
      <c r="G6" s="103">
        <f t="shared" si="1"/>
        <v>6817.5300000000007</v>
      </c>
      <c r="H6" s="103">
        <f t="shared" si="1"/>
        <v>7928.4600000000009</v>
      </c>
    </row>
    <row r="7" spans="1:8" x14ac:dyDescent="0.35">
      <c r="A7" s="576" t="s">
        <v>1123</v>
      </c>
      <c r="B7" s="104" t="s">
        <v>973</v>
      </c>
      <c r="C7" s="103">
        <v>1590.86</v>
      </c>
      <c r="D7" s="103">
        <v>2043</v>
      </c>
      <c r="E7" s="103">
        <v>2145.15</v>
      </c>
      <c r="F7" s="103">
        <v>2252.41</v>
      </c>
      <c r="G7" s="103">
        <v>2365.0300000000002</v>
      </c>
      <c r="H7" s="103">
        <v>2483.2800000000002</v>
      </c>
    </row>
    <row r="8" spans="1:8" x14ac:dyDescent="0.35">
      <c r="A8" s="576" t="s">
        <v>1124</v>
      </c>
      <c r="B8" s="104" t="s">
        <v>1125</v>
      </c>
      <c r="C8" s="103">
        <v>2100.52</v>
      </c>
      <c r="D8" s="103">
        <v>4479.91</v>
      </c>
      <c r="E8" s="103">
        <v>4037.81</v>
      </c>
      <c r="F8" s="103">
        <v>4939.1899999999996</v>
      </c>
      <c r="G8" s="103">
        <v>4452.5</v>
      </c>
      <c r="H8" s="103">
        <v>5445.18</v>
      </c>
    </row>
    <row r="9" spans="1:8" ht="35.5" customHeight="1" x14ac:dyDescent="0.35">
      <c r="A9" s="576" t="s">
        <v>1127</v>
      </c>
      <c r="B9" s="104" t="s">
        <v>1126</v>
      </c>
      <c r="C9" s="103">
        <v>1690.28</v>
      </c>
      <c r="D9" s="103">
        <v>1050</v>
      </c>
      <c r="E9" s="103">
        <v>1102.5</v>
      </c>
      <c r="F9" s="103">
        <v>1157.6300000000001</v>
      </c>
      <c r="G9" s="103">
        <v>1215.51</v>
      </c>
      <c r="H9" s="103">
        <v>1276.28</v>
      </c>
    </row>
    <row r="10" spans="1:8" x14ac:dyDescent="0.35">
      <c r="A10" s="579" t="s">
        <v>1128</v>
      </c>
      <c r="B10" s="232" t="s">
        <v>404</v>
      </c>
      <c r="C10" s="232">
        <v>32421.33</v>
      </c>
      <c r="D10" s="232">
        <v>80769.429999999993</v>
      </c>
      <c r="E10" s="232">
        <v>84807.9</v>
      </c>
      <c r="F10" s="232">
        <v>91196.65</v>
      </c>
      <c r="G10" s="232">
        <v>95756.479999999996</v>
      </c>
      <c r="H10" s="232">
        <v>102912.86</v>
      </c>
    </row>
    <row r="11" spans="1:8" x14ac:dyDescent="0.35">
      <c r="A11" s="579" t="s">
        <v>1129</v>
      </c>
      <c r="B11" s="232" t="s">
        <v>405</v>
      </c>
      <c r="C11" s="232">
        <f>C12+C13</f>
        <v>4806.1900000000005</v>
      </c>
      <c r="D11" s="573">
        <f t="shared" ref="D11:H11" si="2">D12+D13</f>
        <v>6278.99</v>
      </c>
      <c r="E11" s="573">
        <f t="shared" si="2"/>
        <v>6590.1200000000008</v>
      </c>
      <c r="F11" s="573">
        <f t="shared" si="2"/>
        <v>6916.8050000000003</v>
      </c>
      <c r="G11" s="573">
        <f t="shared" si="2"/>
        <v>7259.8282500000005</v>
      </c>
      <c r="H11" s="573">
        <f t="shared" si="2"/>
        <v>7620.0001625000004</v>
      </c>
    </row>
    <row r="12" spans="1:8" x14ac:dyDescent="0.35">
      <c r="A12" s="581" t="s">
        <v>1130</v>
      </c>
      <c r="B12" s="104" t="s">
        <v>1131</v>
      </c>
      <c r="C12" s="103">
        <v>1846.34</v>
      </c>
      <c r="D12" s="103">
        <v>3476.6</v>
      </c>
      <c r="E12" s="103">
        <v>3650.43</v>
      </c>
      <c r="F12" s="103">
        <v>3832.95</v>
      </c>
      <c r="G12" s="103">
        <v>4024.6</v>
      </c>
      <c r="H12" s="103">
        <v>4225.83</v>
      </c>
    </row>
    <row r="13" spans="1:8" x14ac:dyDescent="0.35">
      <c r="A13" s="581" t="s">
        <v>1132</v>
      </c>
      <c r="B13" s="103" t="s">
        <v>1133</v>
      </c>
      <c r="C13" s="103">
        <f>C14+C15+C16+C17+C18+C19+C20+C21+C22+C23+C25+C26+C24+C27+C28+C29</f>
        <v>2959.8500000000004</v>
      </c>
      <c r="D13" s="562">
        <f t="shared" ref="D13:H13" si="3">D14+D15+D16+D17+D18+D19+D20+D21+D22+D23+D25+D26+D24+D27+D28+D29</f>
        <v>2802.3900000000003</v>
      </c>
      <c r="E13" s="562">
        <f t="shared" si="3"/>
        <v>2939.6900000000005</v>
      </c>
      <c r="F13" s="562">
        <f t="shared" si="3"/>
        <v>3083.8550000000005</v>
      </c>
      <c r="G13" s="562">
        <f t="shared" si="3"/>
        <v>3235.2282500000006</v>
      </c>
      <c r="H13" s="562">
        <f t="shared" si="3"/>
        <v>3394.170162500001</v>
      </c>
    </row>
    <row r="14" spans="1:8" ht="14" customHeight="1" x14ac:dyDescent="0.35">
      <c r="A14" s="576" t="s">
        <v>1134</v>
      </c>
      <c r="B14" s="103" t="s">
        <v>279</v>
      </c>
      <c r="C14" s="103">
        <v>389.29</v>
      </c>
      <c r="D14" s="103">
        <v>380.16</v>
      </c>
      <c r="E14" s="562">
        <f>D14*1.05</f>
        <v>399.16800000000006</v>
      </c>
      <c r="F14" s="562">
        <f t="shared" ref="F14:H14" si="4">E14*1.05</f>
        <v>419.1264000000001</v>
      </c>
      <c r="G14" s="562">
        <f t="shared" si="4"/>
        <v>440.08272000000011</v>
      </c>
      <c r="H14" s="562">
        <f t="shared" si="4"/>
        <v>462.08685600000013</v>
      </c>
    </row>
    <row r="15" spans="1:8" ht="14" customHeight="1" x14ac:dyDescent="0.35">
      <c r="A15" s="577" t="s">
        <v>1148</v>
      </c>
      <c r="B15" s="104" t="s">
        <v>1135</v>
      </c>
      <c r="C15" s="103">
        <v>211.3</v>
      </c>
      <c r="D15" s="103">
        <v>213.9</v>
      </c>
      <c r="E15" s="562">
        <f t="shared" ref="E15:H15" si="5">D15*1.05</f>
        <v>224.59500000000003</v>
      </c>
      <c r="F15" s="562">
        <f t="shared" si="5"/>
        <v>235.82475000000005</v>
      </c>
      <c r="G15" s="562">
        <f t="shared" si="5"/>
        <v>247.61598750000007</v>
      </c>
      <c r="H15" s="562">
        <f t="shared" si="5"/>
        <v>259.99678687500011</v>
      </c>
    </row>
    <row r="16" spans="1:8" ht="14" customHeight="1" x14ac:dyDescent="0.35">
      <c r="A16" s="577" t="s">
        <v>1149</v>
      </c>
      <c r="B16" s="103" t="s">
        <v>1136</v>
      </c>
      <c r="C16" s="103">
        <f>29.64+9.3+11.4</f>
        <v>50.339999999999996</v>
      </c>
      <c r="D16" s="103">
        <f>12.2+23.6+30.29</f>
        <v>66.09</v>
      </c>
      <c r="E16" s="562">
        <f t="shared" ref="E16:H16" si="6">D16*1.05</f>
        <v>69.394500000000008</v>
      </c>
      <c r="F16" s="562">
        <f t="shared" si="6"/>
        <v>72.864225000000005</v>
      </c>
      <c r="G16" s="562">
        <f t="shared" si="6"/>
        <v>76.507436250000012</v>
      </c>
      <c r="H16" s="562">
        <f t="shared" si="6"/>
        <v>80.332808062500021</v>
      </c>
    </row>
    <row r="17" spans="1:8" ht="14" customHeight="1" x14ac:dyDescent="0.35">
      <c r="A17" s="577" t="s">
        <v>1150</v>
      </c>
      <c r="B17" s="104" t="s">
        <v>1137</v>
      </c>
      <c r="C17" s="103"/>
      <c r="D17" s="103"/>
      <c r="E17" s="103"/>
      <c r="F17" s="103"/>
      <c r="G17" s="103"/>
      <c r="H17" s="103"/>
    </row>
    <row r="18" spans="1:8" ht="14" customHeight="1" x14ac:dyDescent="0.35">
      <c r="A18" s="577" t="s">
        <v>1151</v>
      </c>
      <c r="B18" s="104" t="s">
        <v>1035</v>
      </c>
      <c r="C18" s="103">
        <v>411.23</v>
      </c>
      <c r="D18" s="103">
        <v>446.98</v>
      </c>
      <c r="E18" s="562">
        <f>D18*1.05</f>
        <v>469.32900000000006</v>
      </c>
      <c r="F18" s="562">
        <f t="shared" ref="F18:H18" si="7">E18*1.05</f>
        <v>492.79545000000007</v>
      </c>
      <c r="G18" s="562">
        <f t="shared" si="7"/>
        <v>517.43522250000012</v>
      </c>
      <c r="H18" s="562">
        <f t="shared" si="7"/>
        <v>543.30698362500016</v>
      </c>
    </row>
    <row r="19" spans="1:8" ht="14" customHeight="1" x14ac:dyDescent="0.35">
      <c r="A19" s="577" t="s">
        <v>1152</v>
      </c>
      <c r="B19" s="104" t="s">
        <v>1138</v>
      </c>
      <c r="C19" s="103"/>
      <c r="D19" s="103"/>
      <c r="E19" s="103"/>
      <c r="F19" s="103"/>
      <c r="G19" s="103"/>
      <c r="H19" s="103"/>
    </row>
    <row r="20" spans="1:8" ht="13" customHeight="1" x14ac:dyDescent="0.35">
      <c r="A20" s="577" t="s">
        <v>1153</v>
      </c>
      <c r="B20" s="104" t="s">
        <v>1139</v>
      </c>
      <c r="C20" s="103"/>
      <c r="D20" s="103"/>
      <c r="E20" s="103"/>
      <c r="F20" s="103"/>
      <c r="G20" s="103"/>
      <c r="H20" s="103"/>
    </row>
    <row r="21" spans="1:8" ht="13" customHeight="1" x14ac:dyDescent="0.35">
      <c r="A21" s="577" t="s">
        <v>1154</v>
      </c>
      <c r="B21" s="104" t="s">
        <v>1140</v>
      </c>
      <c r="C21" s="103"/>
      <c r="D21" s="103"/>
      <c r="E21" s="103"/>
      <c r="F21" s="103"/>
      <c r="G21" s="103"/>
      <c r="H21" s="103"/>
    </row>
    <row r="22" spans="1:8" x14ac:dyDescent="0.35">
      <c r="A22" s="577" t="s">
        <v>1155</v>
      </c>
      <c r="B22" s="104" t="s">
        <v>1141</v>
      </c>
      <c r="C22" s="103"/>
      <c r="D22" s="103"/>
      <c r="E22" s="103"/>
      <c r="F22" s="103"/>
      <c r="G22" s="103"/>
      <c r="H22" s="103"/>
    </row>
    <row r="23" spans="1:8" ht="29" x14ac:dyDescent="0.35">
      <c r="A23" s="577" t="s">
        <v>1156</v>
      </c>
      <c r="B23" s="104" t="s">
        <v>1143</v>
      </c>
      <c r="C23" s="103"/>
      <c r="D23" s="103"/>
      <c r="E23" s="103"/>
      <c r="F23" s="103"/>
      <c r="G23" s="103"/>
      <c r="H23" s="103"/>
    </row>
    <row r="24" spans="1:8" ht="29" x14ac:dyDescent="0.35">
      <c r="A24" s="577" t="s">
        <v>1157</v>
      </c>
      <c r="B24" s="104" t="s">
        <v>1142</v>
      </c>
      <c r="C24" s="103">
        <f>160.13+63.53</f>
        <v>223.66</v>
      </c>
      <c r="D24" s="562">
        <v>705.88</v>
      </c>
      <c r="E24" s="562">
        <f t="shared" ref="E24:H24" si="8">D24*1.05</f>
        <v>741.17399999999998</v>
      </c>
      <c r="F24" s="562">
        <f t="shared" si="8"/>
        <v>778.23270000000002</v>
      </c>
      <c r="G24" s="562">
        <f t="shared" si="8"/>
        <v>817.14433500000007</v>
      </c>
      <c r="H24" s="562">
        <f t="shared" si="8"/>
        <v>858.00155175000009</v>
      </c>
    </row>
    <row r="25" spans="1:8" x14ac:dyDescent="0.35">
      <c r="A25" s="577" t="s">
        <v>1158</v>
      </c>
      <c r="B25" s="570" t="s">
        <v>1144</v>
      </c>
      <c r="C25" s="103">
        <v>223.03</v>
      </c>
      <c r="D25" s="562">
        <v>208.05</v>
      </c>
      <c r="E25" s="562">
        <f t="shared" ref="E25:H25" si="9">D25*1.05</f>
        <v>218.45250000000001</v>
      </c>
      <c r="F25" s="562">
        <f t="shared" si="9"/>
        <v>229.37512500000003</v>
      </c>
      <c r="G25" s="562">
        <f t="shared" si="9"/>
        <v>240.84388125000004</v>
      </c>
      <c r="H25" s="562">
        <f t="shared" si="9"/>
        <v>252.88607531250005</v>
      </c>
    </row>
    <row r="26" spans="1:8" x14ac:dyDescent="0.35">
      <c r="A26" s="577" t="s">
        <v>1159</v>
      </c>
      <c r="B26" s="570" t="s">
        <v>1145</v>
      </c>
      <c r="C26" s="103">
        <v>56.39</v>
      </c>
      <c r="D26" s="103">
        <v>56.39</v>
      </c>
      <c r="E26" s="103">
        <v>56.39</v>
      </c>
      <c r="F26" s="103">
        <v>56.39</v>
      </c>
      <c r="G26" s="103">
        <v>56.39</v>
      </c>
      <c r="H26" s="103">
        <v>56.39</v>
      </c>
    </row>
    <row r="27" spans="1:8" x14ac:dyDescent="0.35">
      <c r="A27" s="577" t="s">
        <v>1160</v>
      </c>
      <c r="B27" s="104" t="s">
        <v>1146</v>
      </c>
      <c r="C27" s="103"/>
      <c r="D27" s="562"/>
      <c r="E27" s="103"/>
      <c r="F27" s="103"/>
      <c r="G27" s="103"/>
      <c r="H27" s="103"/>
    </row>
    <row r="28" spans="1:8" x14ac:dyDescent="0.35">
      <c r="A28" s="577" t="s">
        <v>1161</v>
      </c>
      <c r="B28" s="104" t="s">
        <v>1147</v>
      </c>
      <c r="C28" s="103"/>
      <c r="D28" s="562"/>
      <c r="E28" s="103"/>
      <c r="F28" s="103"/>
      <c r="G28" s="103"/>
      <c r="H28" s="103"/>
    </row>
    <row r="29" spans="1:8" x14ac:dyDescent="0.35">
      <c r="A29" s="577" t="s">
        <v>1162</v>
      </c>
      <c r="B29" s="104" t="s">
        <v>406</v>
      </c>
      <c r="C29" s="103">
        <v>1394.61</v>
      </c>
      <c r="D29" s="562">
        <v>724.94</v>
      </c>
      <c r="E29" s="562">
        <f>D29*1.05</f>
        <v>761.18700000000013</v>
      </c>
      <c r="F29" s="562">
        <f t="shared" ref="F29:H29" si="10">E29*1.05</f>
        <v>799.24635000000012</v>
      </c>
      <c r="G29" s="562">
        <f t="shared" si="10"/>
        <v>839.20866750000016</v>
      </c>
      <c r="H29" s="562">
        <f t="shared" si="10"/>
        <v>881.16910087500025</v>
      </c>
    </row>
    <row r="30" spans="1:8" x14ac:dyDescent="0.35">
      <c r="A30" s="582" t="s">
        <v>940</v>
      </c>
      <c r="B30" s="584" t="s">
        <v>1163</v>
      </c>
      <c r="C30" s="573">
        <f>C31+C34</f>
        <v>54.839999999999996</v>
      </c>
      <c r="D30" s="573">
        <f t="shared" ref="D30:H30" si="11">D31+D34</f>
        <v>709.3</v>
      </c>
      <c r="E30" s="573">
        <f t="shared" si="11"/>
        <v>709.3</v>
      </c>
      <c r="F30" s="573">
        <f t="shared" si="11"/>
        <v>709.3</v>
      </c>
      <c r="G30" s="573">
        <f t="shared" si="11"/>
        <v>709.3</v>
      </c>
      <c r="H30" s="573">
        <f t="shared" si="11"/>
        <v>709.3</v>
      </c>
    </row>
    <row r="31" spans="1:8" x14ac:dyDescent="0.35">
      <c r="A31" s="577" t="s">
        <v>1168</v>
      </c>
      <c r="B31" s="104" t="s">
        <v>1164</v>
      </c>
      <c r="C31" s="562">
        <v>49.3</v>
      </c>
      <c r="D31" s="562">
        <v>50</v>
      </c>
      <c r="E31" s="562">
        <v>50</v>
      </c>
      <c r="F31" s="562">
        <v>50</v>
      </c>
      <c r="G31" s="562">
        <v>50</v>
      </c>
      <c r="H31" s="562">
        <v>50</v>
      </c>
    </row>
    <row r="32" spans="1:8" x14ac:dyDescent="0.35">
      <c r="A32" s="577" t="s">
        <v>1169</v>
      </c>
      <c r="B32" s="104" t="s">
        <v>1165</v>
      </c>
      <c r="C32" s="103"/>
      <c r="D32" s="562"/>
      <c r="E32" s="103"/>
      <c r="F32" s="103"/>
      <c r="G32" s="103"/>
      <c r="H32" s="103"/>
    </row>
    <row r="33" spans="1:8" ht="27.5" customHeight="1" x14ac:dyDescent="0.35">
      <c r="A33" s="577" t="s">
        <v>1170</v>
      </c>
      <c r="B33" s="104" t="s">
        <v>1166</v>
      </c>
      <c r="C33" s="103"/>
      <c r="D33" s="562"/>
      <c r="E33" s="103"/>
      <c r="F33" s="103"/>
      <c r="G33" s="103"/>
      <c r="H33" s="103"/>
    </row>
    <row r="34" spans="1:8" x14ac:dyDescent="0.35">
      <c r="A34" s="577" t="s">
        <v>1171</v>
      </c>
      <c r="B34" s="104" t="s">
        <v>1167</v>
      </c>
      <c r="C34" s="103">
        <v>5.54</v>
      </c>
      <c r="D34" s="562">
        <v>659.3</v>
      </c>
      <c r="E34" s="562">
        <v>659.3</v>
      </c>
      <c r="F34" s="562">
        <v>659.3</v>
      </c>
      <c r="G34" s="562">
        <v>659.3</v>
      </c>
      <c r="H34" s="562">
        <v>659.3</v>
      </c>
    </row>
    <row r="35" spans="1:8" x14ac:dyDescent="0.35">
      <c r="A35" s="583" t="s">
        <v>1172</v>
      </c>
      <c r="B35" s="584" t="s">
        <v>1173</v>
      </c>
      <c r="C35" s="232">
        <f>C36+C37+C38+C39</f>
        <v>43</v>
      </c>
      <c r="D35" s="232">
        <f t="shared" ref="D35:H35" si="12">D36+D37+D38+D39</f>
        <v>626</v>
      </c>
      <c r="E35" s="232">
        <f t="shared" si="12"/>
        <v>626</v>
      </c>
      <c r="F35" s="232">
        <f t="shared" si="12"/>
        <v>626</v>
      </c>
      <c r="G35" s="232">
        <f t="shared" si="12"/>
        <v>626</v>
      </c>
      <c r="H35" s="232">
        <f t="shared" si="12"/>
        <v>626</v>
      </c>
    </row>
    <row r="36" spans="1:8" x14ac:dyDescent="0.35">
      <c r="A36" s="577" t="s">
        <v>1178</v>
      </c>
      <c r="B36" s="104" t="s">
        <v>1174</v>
      </c>
      <c r="C36" s="103"/>
      <c r="D36" s="103"/>
      <c r="E36" s="103"/>
      <c r="F36" s="103"/>
      <c r="G36" s="103"/>
      <c r="H36" s="103"/>
    </row>
    <row r="37" spans="1:8" ht="29" x14ac:dyDescent="0.35">
      <c r="A37" s="577" t="s">
        <v>1179</v>
      </c>
      <c r="B37" s="104" t="s">
        <v>1175</v>
      </c>
      <c r="C37" s="103">
        <v>43</v>
      </c>
      <c r="D37" s="103">
        <v>626</v>
      </c>
      <c r="E37" s="103">
        <v>626</v>
      </c>
      <c r="F37" s="103">
        <v>626</v>
      </c>
      <c r="G37" s="103">
        <v>626</v>
      </c>
      <c r="H37" s="103">
        <v>626</v>
      </c>
    </row>
    <row r="38" spans="1:8" s="192" customFormat="1" x14ac:dyDescent="0.35">
      <c r="A38" s="577" t="s">
        <v>1180</v>
      </c>
      <c r="B38" s="104" t="s">
        <v>1176</v>
      </c>
      <c r="C38" s="103"/>
      <c r="D38" s="103"/>
      <c r="E38" s="103"/>
      <c r="F38" s="103"/>
      <c r="G38" s="103"/>
      <c r="H38" s="103"/>
    </row>
    <row r="39" spans="1:8" s="192" customFormat="1" x14ac:dyDescent="0.35">
      <c r="A39" s="577" t="s">
        <v>1181</v>
      </c>
      <c r="B39" s="104" t="s">
        <v>1177</v>
      </c>
      <c r="C39" s="103"/>
      <c r="D39" s="103"/>
      <c r="E39" s="103"/>
      <c r="F39" s="103"/>
      <c r="G39" s="103"/>
      <c r="H39" s="103"/>
    </row>
    <row r="40" spans="1:8" s="192" customFormat="1" x14ac:dyDescent="0.35">
      <c r="A40" s="577"/>
      <c r="B40" s="113" t="s">
        <v>407</v>
      </c>
      <c r="C40" s="573">
        <f>C5+C10+C11+C30+C35</f>
        <v>42707.020000000004</v>
      </c>
      <c r="D40" s="573">
        <f>D5+D10+D11+D30+D35</f>
        <v>95956.63</v>
      </c>
      <c r="E40" s="573">
        <f t="shared" ref="E40:H40" si="13">E5+E10+E11+E30+E35</f>
        <v>100018.78</v>
      </c>
      <c r="F40" s="573">
        <f t="shared" si="13"/>
        <v>107797.985</v>
      </c>
      <c r="G40" s="573">
        <f t="shared" si="13"/>
        <v>112384.64825</v>
      </c>
      <c r="H40" s="573">
        <f t="shared" si="13"/>
        <v>121072.90016250001</v>
      </c>
    </row>
    <row r="41" spans="1:8" s="192" customFormat="1" x14ac:dyDescent="0.35">
      <c r="A41" s="578"/>
      <c r="B41" s="571"/>
      <c r="C41" s="571"/>
      <c r="D41" s="572"/>
    </row>
    <row r="42" spans="1:8" ht="29" x14ac:dyDescent="0.35">
      <c r="A42" s="577"/>
      <c r="B42" s="585" t="s">
        <v>408</v>
      </c>
      <c r="C42" s="104" t="s">
        <v>1296</v>
      </c>
      <c r="D42" s="103" t="s">
        <v>1329</v>
      </c>
      <c r="E42" s="103" t="s">
        <v>1309</v>
      </c>
      <c r="F42" s="103" t="s">
        <v>1470</v>
      </c>
      <c r="G42" s="103" t="s">
        <v>1471</v>
      </c>
      <c r="H42" s="103" t="s">
        <v>1418</v>
      </c>
    </row>
    <row r="43" spans="1:8" x14ac:dyDescent="0.35">
      <c r="A43" s="103" t="s">
        <v>402</v>
      </c>
      <c r="B43" s="103" t="s">
        <v>188</v>
      </c>
      <c r="C43" s="103"/>
      <c r="D43" s="209"/>
      <c r="E43" s="103"/>
      <c r="F43" s="103"/>
      <c r="G43" s="103"/>
      <c r="H43" s="103"/>
    </row>
    <row r="44" spans="1:8" x14ac:dyDescent="0.35">
      <c r="A44" s="577" t="s">
        <v>1182</v>
      </c>
      <c r="B44" s="586" t="s">
        <v>1183</v>
      </c>
      <c r="C44" s="103">
        <v>9197.2800000000007</v>
      </c>
      <c r="D44" s="209">
        <v>8765.6299999999992</v>
      </c>
      <c r="E44" s="103">
        <v>8808.7000000000007</v>
      </c>
      <c r="F44" s="103">
        <v>9183.23</v>
      </c>
      <c r="G44" s="103">
        <v>9575.16</v>
      </c>
      <c r="H44" s="103">
        <v>9985.35</v>
      </c>
    </row>
    <row r="45" spans="1:8" x14ac:dyDescent="0.35">
      <c r="A45" s="577" t="s">
        <v>1184</v>
      </c>
      <c r="B45" s="104" t="s">
        <v>1185</v>
      </c>
      <c r="C45" s="103">
        <v>37.01</v>
      </c>
      <c r="D45" s="209">
        <v>64.2</v>
      </c>
      <c r="E45" s="103">
        <v>67.41</v>
      </c>
      <c r="F45" s="103">
        <v>70.78</v>
      </c>
      <c r="G45" s="103">
        <v>74.319999999999993</v>
      </c>
      <c r="H45" s="103">
        <v>78.040000000000006</v>
      </c>
    </row>
    <row r="46" spans="1:8" x14ac:dyDescent="0.35">
      <c r="A46" s="577" t="s">
        <v>1188</v>
      </c>
      <c r="B46" s="104" t="s">
        <v>1186</v>
      </c>
      <c r="C46" s="103">
        <v>192.07</v>
      </c>
      <c r="D46" s="209">
        <v>244.94</v>
      </c>
      <c r="E46" s="103">
        <v>257.19</v>
      </c>
      <c r="F46" s="103">
        <v>270.05</v>
      </c>
      <c r="G46" s="103">
        <v>283.55</v>
      </c>
      <c r="H46" s="103">
        <v>297.73</v>
      </c>
    </row>
    <row r="47" spans="1:8" x14ac:dyDescent="0.35">
      <c r="A47" s="577" t="s">
        <v>1189</v>
      </c>
      <c r="B47" s="104" t="s">
        <v>1187</v>
      </c>
      <c r="C47" s="103"/>
      <c r="D47" s="209"/>
      <c r="E47" s="103"/>
      <c r="F47" s="103"/>
      <c r="G47" s="103"/>
      <c r="H47" s="103"/>
    </row>
    <row r="48" spans="1:8" x14ac:dyDescent="0.35">
      <c r="A48" s="577" t="s">
        <v>1190</v>
      </c>
      <c r="B48" s="104" t="s">
        <v>1191</v>
      </c>
      <c r="C48" s="103">
        <f>C50+C51+C52</f>
        <v>2932.9300000000003</v>
      </c>
      <c r="D48" s="103">
        <f t="shared" ref="D48:H48" si="14">D50+D51+D52</f>
        <v>2934.33</v>
      </c>
      <c r="E48" s="103">
        <f t="shared" si="14"/>
        <v>2934.33</v>
      </c>
      <c r="F48" s="103">
        <f t="shared" si="14"/>
        <v>2934.33</v>
      </c>
      <c r="G48" s="103">
        <f t="shared" si="14"/>
        <v>2934.33</v>
      </c>
      <c r="H48" s="103">
        <f t="shared" si="14"/>
        <v>2934.33</v>
      </c>
    </row>
    <row r="49" spans="1:8" x14ac:dyDescent="0.35">
      <c r="A49" s="577" t="s">
        <v>1194</v>
      </c>
      <c r="B49" s="104" t="s">
        <v>1192</v>
      </c>
      <c r="C49" s="103"/>
      <c r="D49" s="209"/>
      <c r="E49" s="103"/>
      <c r="F49" s="103"/>
      <c r="G49" s="103"/>
      <c r="H49" s="103"/>
    </row>
    <row r="50" spans="1:8" x14ac:dyDescent="0.35">
      <c r="A50" s="577" t="s">
        <v>1195</v>
      </c>
      <c r="B50" s="104" t="s">
        <v>1032</v>
      </c>
      <c r="C50" s="103">
        <v>46.9</v>
      </c>
      <c r="D50" s="209">
        <v>46.93</v>
      </c>
      <c r="E50" s="209">
        <v>46.93</v>
      </c>
      <c r="F50" s="209">
        <v>46.93</v>
      </c>
      <c r="G50" s="209">
        <v>46.93</v>
      </c>
      <c r="H50" s="103">
        <v>46.93</v>
      </c>
    </row>
    <row r="51" spans="1:8" x14ac:dyDescent="0.35">
      <c r="A51" s="577" t="s">
        <v>1196</v>
      </c>
      <c r="B51" s="104" t="s">
        <v>1193</v>
      </c>
      <c r="C51" s="103">
        <v>18.63</v>
      </c>
      <c r="D51" s="209">
        <v>20</v>
      </c>
      <c r="E51" s="209">
        <v>20</v>
      </c>
      <c r="F51" s="209">
        <v>20</v>
      </c>
      <c r="G51" s="209">
        <v>20</v>
      </c>
      <c r="H51" s="103">
        <v>20</v>
      </c>
    </row>
    <row r="52" spans="1:8" x14ac:dyDescent="0.35">
      <c r="A52" s="577" t="s">
        <v>1197</v>
      </c>
      <c r="B52" s="104" t="s">
        <v>1033</v>
      </c>
      <c r="C52" s="103">
        <v>2867.4</v>
      </c>
      <c r="D52" s="209">
        <v>2867.4</v>
      </c>
      <c r="E52" s="209">
        <v>2867.4</v>
      </c>
      <c r="F52" s="209">
        <v>2867.4</v>
      </c>
      <c r="G52" s="209">
        <v>2867.4</v>
      </c>
      <c r="H52" s="103">
        <v>2867.4</v>
      </c>
    </row>
    <row r="53" spans="1:8" x14ac:dyDescent="0.35">
      <c r="A53" s="577" t="s">
        <v>1198</v>
      </c>
      <c r="B53" s="104" t="s">
        <v>1199</v>
      </c>
      <c r="C53" s="103">
        <v>9289.61</v>
      </c>
      <c r="D53" s="916">
        <f>D10*30.4%</f>
        <v>24553.906719999999</v>
      </c>
      <c r="E53" s="916">
        <f t="shared" ref="E53:H53" si="15">E10*30.4%</f>
        <v>25781.601599999998</v>
      </c>
      <c r="F53" s="916">
        <f t="shared" si="15"/>
        <v>27723.781599999998</v>
      </c>
      <c r="G53" s="916">
        <f t="shared" si="15"/>
        <v>29109.96992</v>
      </c>
      <c r="H53" s="562">
        <f t="shared" si="15"/>
        <v>31285.509439999998</v>
      </c>
    </row>
    <row r="54" spans="1:8" x14ac:dyDescent="0.35">
      <c r="A54" s="577" t="s">
        <v>1200</v>
      </c>
      <c r="B54" s="104" t="s">
        <v>409</v>
      </c>
      <c r="C54" s="103"/>
      <c r="D54" s="209"/>
      <c r="E54" s="103"/>
      <c r="F54" s="103"/>
      <c r="G54" s="103"/>
      <c r="H54" s="103"/>
    </row>
    <row r="55" spans="1:8" x14ac:dyDescent="0.35">
      <c r="A55" s="577" t="s">
        <v>1207</v>
      </c>
      <c r="B55" s="104" t="s">
        <v>1201</v>
      </c>
      <c r="C55" s="103"/>
      <c r="D55" s="209">
        <v>2193.4</v>
      </c>
      <c r="E55" s="103">
        <v>2326.4</v>
      </c>
      <c r="F55" s="103">
        <v>3066</v>
      </c>
      <c r="G55" s="103">
        <v>2563.3000000000002</v>
      </c>
      <c r="H55" s="103">
        <v>1918.7</v>
      </c>
    </row>
    <row r="56" spans="1:8" ht="26.5" customHeight="1" x14ac:dyDescent="0.35">
      <c r="A56" s="577" t="s">
        <v>1208</v>
      </c>
      <c r="B56" s="104" t="s">
        <v>1219</v>
      </c>
      <c r="C56" s="103"/>
      <c r="D56" s="209"/>
      <c r="E56" s="103"/>
      <c r="F56" s="103"/>
      <c r="G56" s="103"/>
      <c r="H56" s="103"/>
    </row>
    <row r="57" spans="1:8" ht="15" customHeight="1" x14ac:dyDescent="0.35">
      <c r="A57" s="577" t="s">
        <v>1209</v>
      </c>
      <c r="B57" s="104" t="s">
        <v>1202</v>
      </c>
      <c r="C57" s="103">
        <v>5891.47</v>
      </c>
      <c r="D57" s="103">
        <v>5891.47</v>
      </c>
      <c r="E57" s="103">
        <v>5891.47</v>
      </c>
      <c r="F57" s="103">
        <v>5891.47</v>
      </c>
      <c r="G57" s="103">
        <v>5891.47</v>
      </c>
      <c r="H57" s="103">
        <v>5891.47</v>
      </c>
    </row>
    <row r="58" spans="1:8" x14ac:dyDescent="0.35">
      <c r="A58" s="577" t="s">
        <v>1210</v>
      </c>
      <c r="B58" s="104" t="s">
        <v>1203</v>
      </c>
      <c r="C58" s="103"/>
      <c r="D58" s="103"/>
      <c r="E58" s="103"/>
      <c r="F58" s="103"/>
      <c r="G58" s="103"/>
      <c r="H58" s="103"/>
    </row>
    <row r="59" spans="1:8" x14ac:dyDescent="0.35">
      <c r="A59" s="577" t="s">
        <v>1211</v>
      </c>
      <c r="B59" s="104" t="s">
        <v>1204</v>
      </c>
      <c r="C59" s="103">
        <v>5891.47</v>
      </c>
      <c r="D59" s="103">
        <v>5891.47</v>
      </c>
      <c r="E59" s="103">
        <v>5891.47</v>
      </c>
      <c r="F59" s="103">
        <v>5891.47</v>
      </c>
      <c r="G59" s="103">
        <v>5891.47</v>
      </c>
      <c r="H59" s="103">
        <v>5891.47</v>
      </c>
    </row>
    <row r="60" spans="1:8" x14ac:dyDescent="0.35">
      <c r="A60" s="577" t="s">
        <v>1212</v>
      </c>
      <c r="B60" s="104" t="s">
        <v>1205</v>
      </c>
      <c r="C60" s="103"/>
      <c r="D60" s="209"/>
      <c r="E60" s="103"/>
      <c r="F60" s="103"/>
      <c r="G60" s="103"/>
      <c r="H60" s="103"/>
    </row>
    <row r="61" spans="1:8" x14ac:dyDescent="0.35">
      <c r="A61" s="577" t="s">
        <v>1213</v>
      </c>
      <c r="B61" s="104" t="s">
        <v>1554</v>
      </c>
      <c r="C61" s="103"/>
      <c r="D61" s="103">
        <v>9631.91</v>
      </c>
      <c r="E61" s="209">
        <v>10296.469999999999</v>
      </c>
      <c r="F61" s="103">
        <v>13994.92</v>
      </c>
      <c r="G61" s="103">
        <v>11480.99</v>
      </c>
      <c r="H61" s="103">
        <v>8258.31</v>
      </c>
    </row>
    <row r="62" spans="1:8" x14ac:dyDescent="0.35">
      <c r="A62" s="577"/>
      <c r="B62" s="113" t="s">
        <v>411</v>
      </c>
      <c r="C62" s="232">
        <f>C44+C45+C46+C47+C48+C53+C55+C56+C57+C60+C61</f>
        <v>27540.370000000003</v>
      </c>
      <c r="D62" s="573">
        <f t="shared" ref="D62:H62" si="16">D44+D45+D46+D47+D48+D53+D55+D56+D57+D60+D61</f>
        <v>54279.786720000004</v>
      </c>
      <c r="E62" s="573">
        <f t="shared" si="16"/>
        <v>56363.571600000003</v>
      </c>
      <c r="F62" s="573">
        <f t="shared" si="16"/>
        <v>63134.561600000001</v>
      </c>
      <c r="G62" s="573">
        <f t="shared" si="16"/>
        <v>61913.089919999999</v>
      </c>
      <c r="H62" s="573">
        <f t="shared" si="16"/>
        <v>60649.439439999995</v>
      </c>
    </row>
    <row r="63" spans="1:8" x14ac:dyDescent="0.35">
      <c r="A63" s="578"/>
      <c r="B63" s="571"/>
      <c r="C63" s="571"/>
      <c r="D63" s="571"/>
      <c r="E63" s="435"/>
      <c r="F63" s="435"/>
      <c r="G63" s="435"/>
      <c r="H63" s="435"/>
    </row>
    <row r="64" spans="1:8" x14ac:dyDescent="0.35">
      <c r="A64" s="1303" t="s">
        <v>1214</v>
      </c>
      <c r="B64" s="1304"/>
      <c r="C64" s="1304"/>
      <c r="D64" s="1304"/>
      <c r="E64" s="1304"/>
      <c r="F64" s="915"/>
      <c r="G64" s="915"/>
      <c r="H64" s="915"/>
    </row>
    <row r="65" spans="1:8" ht="30" customHeight="1" x14ac:dyDescent="0.35">
      <c r="A65" s="577" t="s">
        <v>1215</v>
      </c>
      <c r="B65" s="104" t="s">
        <v>1214</v>
      </c>
      <c r="C65" s="103"/>
      <c r="D65" s="103"/>
      <c r="E65" s="209"/>
      <c r="F65" s="103"/>
      <c r="G65" s="103"/>
      <c r="H65" s="103"/>
    </row>
    <row r="66" spans="1:8" ht="15.5" x14ac:dyDescent="0.35">
      <c r="A66" s="577" t="s">
        <v>1216</v>
      </c>
      <c r="B66" s="587" t="s">
        <v>1217</v>
      </c>
      <c r="C66" s="573">
        <f>C40+C62+C65</f>
        <v>70247.390000000014</v>
      </c>
      <c r="D66" s="573">
        <f t="shared" ref="D66:H66" si="17">D40+D62+D65</f>
        <v>150236.41672000001</v>
      </c>
      <c r="E66" s="573">
        <f t="shared" si="17"/>
        <v>156382.35159999999</v>
      </c>
      <c r="F66" s="573">
        <f t="shared" si="17"/>
        <v>170932.5466</v>
      </c>
      <c r="G66" s="573">
        <f t="shared" si="17"/>
        <v>174297.73817</v>
      </c>
      <c r="H66" s="573">
        <f t="shared" si="17"/>
        <v>181722.3396025</v>
      </c>
    </row>
    <row r="68" spans="1:8" x14ac:dyDescent="0.35">
      <c r="B68" s="112" t="s">
        <v>782</v>
      </c>
    </row>
  </sheetData>
  <mergeCells count="1">
    <mergeCell ref="A64:E6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J56" sqref="A1:J56"/>
    </sheetView>
  </sheetViews>
  <sheetFormatPr defaultRowHeight="14.5" x14ac:dyDescent="0.35"/>
  <cols>
    <col min="1" max="1" width="8.81640625" style="41" bestFit="1" customWidth="1"/>
    <col min="2" max="2" width="44.453125" style="41" customWidth="1"/>
    <col min="3" max="3" width="10.7265625" style="41" customWidth="1"/>
    <col min="4" max="5" width="8.81640625" style="41" bestFit="1" customWidth="1"/>
    <col min="6" max="7" width="9.36328125" style="41" bestFit="1" customWidth="1"/>
    <col min="8" max="16384" width="8.7265625" style="41"/>
  </cols>
  <sheetData>
    <row r="1" spans="1:7" x14ac:dyDescent="0.35">
      <c r="A1" s="452"/>
      <c r="B1" s="452"/>
      <c r="C1" s="452"/>
      <c r="D1" s="452"/>
      <c r="E1" s="452"/>
      <c r="F1" s="452"/>
      <c r="G1" s="452"/>
    </row>
    <row r="2" spans="1:7" ht="24" customHeight="1" x14ac:dyDescent="0.35">
      <c r="A2" s="1306" t="s">
        <v>345</v>
      </c>
      <c r="B2" s="1306"/>
      <c r="C2" s="452"/>
      <c r="D2" s="452"/>
      <c r="E2" s="452"/>
      <c r="F2" s="452"/>
      <c r="G2" s="452"/>
    </row>
    <row r="3" spans="1:7" x14ac:dyDescent="0.35">
      <c r="A3" s="862"/>
      <c r="B3" s="862" t="s">
        <v>993</v>
      </c>
      <c r="C3" s="452"/>
      <c r="D3" s="452"/>
      <c r="E3" s="452"/>
      <c r="F3" s="452"/>
      <c r="G3" s="452"/>
    </row>
    <row r="4" spans="1:7" x14ac:dyDescent="0.35">
      <c r="A4" s="863"/>
      <c r="B4" s="864" t="s">
        <v>339</v>
      </c>
      <c r="C4" s="452" t="s">
        <v>1101</v>
      </c>
      <c r="D4" s="452"/>
      <c r="E4" s="452"/>
      <c r="F4" s="452"/>
      <c r="G4" s="452"/>
    </row>
    <row r="5" spans="1:7" ht="29" customHeight="1" x14ac:dyDescent="0.35">
      <c r="A5" s="865" t="s">
        <v>187</v>
      </c>
      <c r="B5" s="865" t="s">
        <v>276</v>
      </c>
      <c r="C5" s="866" t="s">
        <v>1417</v>
      </c>
      <c r="D5" s="448" t="s">
        <v>1309</v>
      </c>
      <c r="E5" s="448" t="s">
        <v>1310</v>
      </c>
      <c r="F5" s="448" t="s">
        <v>1311</v>
      </c>
      <c r="G5" s="448" t="s">
        <v>1418</v>
      </c>
    </row>
    <row r="6" spans="1:7" x14ac:dyDescent="0.35">
      <c r="A6" s="867">
        <v>1</v>
      </c>
      <c r="B6" s="867">
        <v>2</v>
      </c>
      <c r="C6" s="880"/>
      <c r="D6" s="448"/>
      <c r="E6" s="448"/>
      <c r="F6" s="448"/>
      <c r="G6" s="448"/>
    </row>
    <row r="7" spans="1:7" x14ac:dyDescent="0.35">
      <c r="A7" s="868" t="s">
        <v>26</v>
      </c>
      <c r="B7" s="869" t="s">
        <v>346</v>
      </c>
      <c r="C7" s="870">
        <v>3476.6</v>
      </c>
      <c r="D7" s="448">
        <v>3650.43</v>
      </c>
      <c r="E7" s="448">
        <v>3832.95</v>
      </c>
      <c r="F7" s="448">
        <v>4024.6</v>
      </c>
      <c r="G7" s="448">
        <v>4225.83</v>
      </c>
    </row>
    <row r="8" spans="1:7" ht="24.5" x14ac:dyDescent="0.35">
      <c r="A8" s="868" t="s">
        <v>28</v>
      </c>
      <c r="B8" s="869" t="s">
        <v>784</v>
      </c>
      <c r="C8" s="870">
        <v>6522.91</v>
      </c>
      <c r="D8" s="448">
        <v>6182.96</v>
      </c>
      <c r="E8" s="448">
        <v>7191.6</v>
      </c>
      <c r="F8" s="448">
        <v>6817.53</v>
      </c>
      <c r="G8" s="448">
        <v>7928.46</v>
      </c>
    </row>
    <row r="9" spans="1:7" x14ac:dyDescent="0.35">
      <c r="A9" s="868"/>
      <c r="B9" s="869" t="s">
        <v>347</v>
      </c>
      <c r="C9" s="870"/>
      <c r="D9" s="448"/>
      <c r="E9" s="448"/>
      <c r="F9" s="448"/>
      <c r="G9" s="448"/>
    </row>
    <row r="10" spans="1:7" ht="17.25" customHeight="1" x14ac:dyDescent="0.35">
      <c r="A10" s="868" t="s">
        <v>30</v>
      </c>
      <c r="B10" s="869" t="s">
        <v>1521</v>
      </c>
      <c r="C10" s="870">
        <v>1050</v>
      </c>
      <c r="D10" s="909">
        <f>C10*1.05</f>
        <v>1102.5</v>
      </c>
      <c r="E10" s="909">
        <f t="shared" ref="E10:G10" si="0">D10*1.05</f>
        <v>1157.625</v>
      </c>
      <c r="F10" s="909">
        <f t="shared" si="0"/>
        <v>1215.5062500000001</v>
      </c>
      <c r="G10" s="909">
        <f t="shared" si="0"/>
        <v>1276.2815625000003</v>
      </c>
    </row>
    <row r="11" spans="1:7" x14ac:dyDescent="0.35">
      <c r="A11" s="868">
        <v>3.1</v>
      </c>
      <c r="B11" s="869" t="s">
        <v>348</v>
      </c>
      <c r="C11" s="870">
        <v>0</v>
      </c>
      <c r="D11" s="448"/>
      <c r="E11" s="448"/>
      <c r="F11" s="448"/>
      <c r="G11" s="448"/>
    </row>
    <row r="12" spans="1:7" x14ac:dyDescent="0.35">
      <c r="A12" s="868" t="s">
        <v>206</v>
      </c>
      <c r="B12" s="869" t="s">
        <v>349</v>
      </c>
      <c r="C12" s="870"/>
      <c r="D12" s="448"/>
      <c r="E12" s="448"/>
      <c r="F12" s="448"/>
      <c r="G12" s="448"/>
    </row>
    <row r="13" spans="1:7" x14ac:dyDescent="0.35">
      <c r="A13" s="868" t="s">
        <v>278</v>
      </c>
      <c r="B13" s="869" t="s">
        <v>350</v>
      </c>
      <c r="C13" s="870">
        <f>C14+C15</f>
        <v>309.14</v>
      </c>
      <c r="D13" s="873">
        <f t="shared" ref="D13:G13" si="1">D14+D15</f>
        <v>324.59700000000004</v>
      </c>
      <c r="E13" s="873">
        <f t="shared" si="1"/>
        <v>340.82685000000004</v>
      </c>
      <c r="F13" s="873">
        <f t="shared" si="1"/>
        <v>357.86819250000008</v>
      </c>
      <c r="G13" s="910">
        <f t="shared" si="1"/>
        <v>375.76160212500008</v>
      </c>
    </row>
    <row r="14" spans="1:7" x14ac:dyDescent="0.35">
      <c r="A14" s="868" t="s">
        <v>351</v>
      </c>
      <c r="B14" s="869" t="s">
        <v>352</v>
      </c>
      <c r="C14" s="870">
        <v>64.2</v>
      </c>
      <c r="D14" s="909">
        <f>C14*1.05</f>
        <v>67.410000000000011</v>
      </c>
      <c r="E14" s="909">
        <f t="shared" ref="E14:G14" si="2">D14*1.05</f>
        <v>70.780500000000018</v>
      </c>
      <c r="F14" s="909">
        <f t="shared" si="2"/>
        <v>74.319525000000027</v>
      </c>
      <c r="G14" s="909">
        <f t="shared" si="2"/>
        <v>78.035501250000038</v>
      </c>
    </row>
    <row r="15" spans="1:7" x14ac:dyDescent="0.35">
      <c r="A15" s="868" t="s">
        <v>353</v>
      </c>
      <c r="B15" s="869" t="s">
        <v>354</v>
      </c>
      <c r="C15" s="870">
        <v>244.94</v>
      </c>
      <c r="D15" s="909">
        <f>C15*1.05</f>
        <v>257.18700000000001</v>
      </c>
      <c r="E15" s="909">
        <f t="shared" ref="E15:G15" si="3">D15*1.05</f>
        <v>270.04635000000002</v>
      </c>
      <c r="F15" s="909">
        <f t="shared" si="3"/>
        <v>283.54866750000002</v>
      </c>
      <c r="G15" s="909">
        <f t="shared" si="3"/>
        <v>297.72610087500004</v>
      </c>
    </row>
    <row r="16" spans="1:7" x14ac:dyDescent="0.35">
      <c r="A16" s="868" t="s">
        <v>280</v>
      </c>
      <c r="B16" s="869" t="s">
        <v>355</v>
      </c>
      <c r="C16" s="870">
        <v>80769.429999999993</v>
      </c>
      <c r="D16" s="909">
        <v>84807.900764159989</v>
      </c>
      <c r="E16" s="909">
        <v>91196.646283007998</v>
      </c>
      <c r="F16" s="909">
        <v>95756.47859715845</v>
      </c>
      <c r="G16" s="909">
        <v>102912.85893192195</v>
      </c>
    </row>
    <row r="17" spans="1:7" x14ac:dyDescent="0.35">
      <c r="A17" s="868"/>
      <c r="B17" s="869" t="s">
        <v>347</v>
      </c>
      <c r="C17" s="870"/>
      <c r="D17" s="448"/>
      <c r="E17" s="448"/>
      <c r="F17" s="448"/>
      <c r="G17" s="448"/>
    </row>
    <row r="18" spans="1:7" x14ac:dyDescent="0.35">
      <c r="A18" s="868" t="s">
        <v>32</v>
      </c>
      <c r="B18" s="869" t="s">
        <v>356</v>
      </c>
      <c r="C18" s="873">
        <f>C16*30.4%</f>
        <v>24553.906719999999</v>
      </c>
      <c r="D18" s="873">
        <f t="shared" ref="D18:G18" si="4">D16*30.4%</f>
        <v>25781.601832304637</v>
      </c>
      <c r="E18" s="873">
        <f t="shared" si="4"/>
        <v>27723.780470034431</v>
      </c>
      <c r="F18" s="873">
        <f t="shared" si="4"/>
        <v>29109.969493536169</v>
      </c>
      <c r="G18" s="910">
        <f t="shared" si="4"/>
        <v>31285.50911530427</v>
      </c>
    </row>
    <row r="19" spans="1:7" x14ac:dyDescent="0.35">
      <c r="A19" s="868"/>
      <c r="B19" s="869" t="s">
        <v>347</v>
      </c>
      <c r="C19" s="870"/>
      <c r="D19" s="448"/>
      <c r="E19" s="448"/>
      <c r="F19" s="448"/>
      <c r="G19" s="448"/>
    </row>
    <row r="20" spans="1:7" x14ac:dyDescent="0.35">
      <c r="A20" s="868" t="s">
        <v>282</v>
      </c>
      <c r="B20" s="869" t="s">
        <v>357</v>
      </c>
      <c r="C20" s="870">
        <v>5891.47</v>
      </c>
      <c r="D20" s="870">
        <v>5891.47</v>
      </c>
      <c r="E20" s="870">
        <v>5891.47</v>
      </c>
      <c r="F20" s="870">
        <v>5891.47</v>
      </c>
      <c r="G20" s="911">
        <v>5891.47</v>
      </c>
    </row>
    <row r="21" spans="1:7" x14ac:dyDescent="0.35">
      <c r="A21" s="868" t="s">
        <v>285</v>
      </c>
      <c r="B21" s="869" t="s">
        <v>358</v>
      </c>
      <c r="C21" s="871">
        <f>C22+C23+C24+C25+C26+C30</f>
        <v>14502.349999999999</v>
      </c>
      <c r="D21" s="871">
        <f t="shared" ref="D21:G21" si="5">D22+D23+D24+D25+D26+D30</f>
        <v>14682.720000000001</v>
      </c>
      <c r="E21" s="871">
        <f t="shared" si="5"/>
        <v>15201.414999999999</v>
      </c>
      <c r="F21" s="871">
        <f t="shared" si="5"/>
        <v>15744.71825</v>
      </c>
      <c r="G21" s="890">
        <f t="shared" si="5"/>
        <v>16313.850162499999</v>
      </c>
    </row>
    <row r="22" spans="1:7" x14ac:dyDescent="0.35">
      <c r="A22" s="868" t="s">
        <v>359</v>
      </c>
      <c r="B22" s="869" t="s">
        <v>1146</v>
      </c>
      <c r="C22" s="870"/>
      <c r="D22" s="448"/>
      <c r="E22" s="448"/>
      <c r="F22" s="448"/>
      <c r="G22" s="448"/>
    </row>
    <row r="23" spans="1:7" x14ac:dyDescent="0.35">
      <c r="A23" s="868" t="s">
        <v>360</v>
      </c>
      <c r="B23" s="869" t="s">
        <v>841</v>
      </c>
      <c r="C23" s="870">
        <v>56.39</v>
      </c>
      <c r="D23" s="870">
        <v>56.39</v>
      </c>
      <c r="E23" s="870">
        <v>56.39</v>
      </c>
      <c r="F23" s="870">
        <v>56.39</v>
      </c>
      <c r="G23" s="911">
        <v>56.39</v>
      </c>
    </row>
    <row r="24" spans="1:7" x14ac:dyDescent="0.35">
      <c r="A24" s="868" t="s">
        <v>361</v>
      </c>
      <c r="B24" s="869" t="s">
        <v>362</v>
      </c>
      <c r="C24" s="870">
        <v>20</v>
      </c>
      <c r="D24" s="912">
        <v>20</v>
      </c>
      <c r="E24" s="912">
        <v>20</v>
      </c>
      <c r="F24" s="912">
        <v>20</v>
      </c>
      <c r="G24" s="912">
        <v>20</v>
      </c>
    </row>
    <row r="25" spans="1:7" ht="88" customHeight="1" x14ac:dyDescent="0.35">
      <c r="A25" s="868">
        <v>9.4</v>
      </c>
      <c r="B25" s="872" t="s">
        <v>1020</v>
      </c>
      <c r="C25" s="870">
        <v>8765.6299999999992</v>
      </c>
      <c r="D25" s="913">
        <v>8808.7000000000007</v>
      </c>
      <c r="E25" s="913">
        <v>9183.23</v>
      </c>
      <c r="F25" s="913">
        <v>9575.16</v>
      </c>
      <c r="G25" s="913">
        <v>9985.35</v>
      </c>
    </row>
    <row r="26" spans="1:7" ht="24.5" x14ac:dyDescent="0.35">
      <c r="A26" s="868" t="s">
        <v>363</v>
      </c>
      <c r="B26" s="869" t="s">
        <v>364</v>
      </c>
      <c r="C26" s="870">
        <f t="shared" ref="C26:G26" si="6">C28+C29</f>
        <v>2914.33</v>
      </c>
      <c r="D26" s="870">
        <f t="shared" si="6"/>
        <v>2914.33</v>
      </c>
      <c r="E26" s="870">
        <f t="shared" si="6"/>
        <v>2914.33</v>
      </c>
      <c r="F26" s="870">
        <f t="shared" si="6"/>
        <v>2914.33</v>
      </c>
      <c r="G26" s="911">
        <f t="shared" si="6"/>
        <v>2914.33</v>
      </c>
    </row>
    <row r="27" spans="1:7" x14ac:dyDescent="0.35">
      <c r="A27" s="868" t="s">
        <v>365</v>
      </c>
      <c r="B27" s="869" t="s">
        <v>366</v>
      </c>
      <c r="C27" s="870"/>
      <c r="D27" s="448"/>
      <c r="E27" s="448"/>
      <c r="F27" s="448"/>
      <c r="G27" s="448"/>
    </row>
    <row r="28" spans="1:7" x14ac:dyDescent="0.35">
      <c r="A28" s="868" t="s">
        <v>367</v>
      </c>
      <c r="B28" s="869" t="s">
        <v>368</v>
      </c>
      <c r="C28" s="870">
        <v>46.93</v>
      </c>
      <c r="D28" s="870">
        <v>46.93</v>
      </c>
      <c r="E28" s="870">
        <v>46.93</v>
      </c>
      <c r="F28" s="870">
        <v>46.93</v>
      </c>
      <c r="G28" s="911">
        <v>46.93</v>
      </c>
    </row>
    <row r="29" spans="1:7" x14ac:dyDescent="0.35">
      <c r="A29" s="868" t="s">
        <v>369</v>
      </c>
      <c r="B29" s="869" t="s">
        <v>370</v>
      </c>
      <c r="C29" s="870">
        <v>2867.4</v>
      </c>
      <c r="D29" s="870">
        <v>2867.4</v>
      </c>
      <c r="E29" s="870">
        <v>2867.4</v>
      </c>
      <c r="F29" s="870">
        <v>2867.4</v>
      </c>
      <c r="G29" s="911">
        <v>2867.4</v>
      </c>
    </row>
    <row r="30" spans="1:7" ht="24.5" x14ac:dyDescent="0.35">
      <c r="A30" s="868" t="s">
        <v>371</v>
      </c>
      <c r="B30" s="869" t="s">
        <v>372</v>
      </c>
      <c r="C30" s="873">
        <v>2746</v>
      </c>
      <c r="D30" s="909">
        <f>C30*1.05</f>
        <v>2883.3</v>
      </c>
      <c r="E30" s="909">
        <f t="shared" ref="E30" si="7">D30*1.05</f>
        <v>3027.4650000000001</v>
      </c>
      <c r="F30" s="909">
        <f t="shared" ref="F30" si="8">E30*1.05</f>
        <v>3178.8382500000002</v>
      </c>
      <c r="G30" s="909">
        <f t="shared" ref="G30" si="9">F30*1.05</f>
        <v>3337.7801625000002</v>
      </c>
    </row>
    <row r="31" spans="1:7" x14ac:dyDescent="0.35">
      <c r="A31" s="868" t="s">
        <v>373</v>
      </c>
      <c r="B31" s="869"/>
      <c r="C31" s="870"/>
      <c r="D31" s="448"/>
      <c r="E31" s="448"/>
      <c r="F31" s="448"/>
      <c r="G31" s="448"/>
    </row>
    <row r="32" spans="1:7" x14ac:dyDescent="0.35">
      <c r="A32" s="874"/>
      <c r="B32" s="869"/>
      <c r="C32" s="870"/>
      <c r="D32" s="448"/>
      <c r="E32" s="448"/>
      <c r="F32" s="448"/>
      <c r="G32" s="448"/>
    </row>
    <row r="33" spans="1:7" x14ac:dyDescent="0.35">
      <c r="A33" s="868" t="s">
        <v>286</v>
      </c>
      <c r="B33" s="869" t="s">
        <v>374</v>
      </c>
      <c r="C33" s="881">
        <f>C7+C8+C10+C12+C13+C16+C18+C20+C21+C32</f>
        <v>137075.80671999999</v>
      </c>
      <c r="D33" s="881">
        <f t="shared" ref="D33:G33" si="10">D7+D8+D10+D12+D13+D16+D18+D20+D21+D32</f>
        <v>142424.17959646462</v>
      </c>
      <c r="E33" s="881">
        <f t="shared" si="10"/>
        <v>152536.31360304245</v>
      </c>
      <c r="F33" s="881">
        <f t="shared" si="10"/>
        <v>158918.14078319463</v>
      </c>
      <c r="G33" s="888">
        <f t="shared" si="10"/>
        <v>170210.0213743512</v>
      </c>
    </row>
    <row r="34" spans="1:7" x14ac:dyDescent="0.35">
      <c r="A34" s="868" t="s">
        <v>287</v>
      </c>
      <c r="B34" s="869" t="s">
        <v>375</v>
      </c>
      <c r="C34" s="870"/>
      <c r="D34" s="448"/>
      <c r="E34" s="448"/>
      <c r="F34" s="448"/>
      <c r="G34" s="448"/>
    </row>
    <row r="35" spans="1:7" ht="24.5" x14ac:dyDescent="0.35">
      <c r="A35" s="868" t="s">
        <v>376</v>
      </c>
      <c r="B35" s="869" t="s">
        <v>377</v>
      </c>
      <c r="C35" s="870"/>
      <c r="D35" s="448"/>
      <c r="E35" s="448"/>
      <c r="F35" s="448"/>
      <c r="G35" s="448"/>
    </row>
    <row r="36" spans="1:7" x14ac:dyDescent="0.35">
      <c r="A36" s="868"/>
      <c r="B36" s="869"/>
      <c r="C36" s="870"/>
      <c r="D36" s="448"/>
      <c r="E36" s="448"/>
      <c r="F36" s="448"/>
      <c r="G36" s="448"/>
    </row>
    <row r="37" spans="1:7" x14ac:dyDescent="0.35">
      <c r="A37" s="875" t="s">
        <v>378</v>
      </c>
      <c r="B37" s="876" t="s">
        <v>379</v>
      </c>
      <c r="C37" s="882">
        <f t="shared" ref="C37:G37" si="11">C33</f>
        <v>137075.80671999999</v>
      </c>
      <c r="D37" s="882">
        <f t="shared" si="11"/>
        <v>142424.17959646462</v>
      </c>
      <c r="E37" s="882">
        <f t="shared" si="11"/>
        <v>152536.31360304245</v>
      </c>
      <c r="F37" s="882">
        <f t="shared" si="11"/>
        <v>158918.14078319463</v>
      </c>
      <c r="G37" s="889">
        <f t="shared" si="11"/>
        <v>170210.0213743512</v>
      </c>
    </row>
    <row r="38" spans="1:7" x14ac:dyDescent="0.35">
      <c r="A38" s="868"/>
      <c r="B38" s="869" t="s">
        <v>380</v>
      </c>
      <c r="C38" s="870"/>
      <c r="D38" s="448"/>
      <c r="E38" s="448"/>
      <c r="F38" s="448"/>
      <c r="G38" s="448"/>
    </row>
    <row r="39" spans="1:7" x14ac:dyDescent="0.35">
      <c r="A39" s="874" t="s">
        <v>381</v>
      </c>
      <c r="B39" s="869" t="s">
        <v>382</v>
      </c>
      <c r="C39" s="870"/>
      <c r="D39" s="448"/>
      <c r="E39" s="448"/>
      <c r="F39" s="448"/>
      <c r="G39" s="448"/>
    </row>
    <row r="40" spans="1:7" x14ac:dyDescent="0.35">
      <c r="A40" s="874" t="s">
        <v>383</v>
      </c>
      <c r="B40" s="869" t="s">
        <v>384</v>
      </c>
      <c r="C40" s="870"/>
      <c r="D40" s="448"/>
      <c r="E40" s="448"/>
      <c r="F40" s="448"/>
      <c r="G40" s="448"/>
    </row>
    <row r="41" spans="1:7" x14ac:dyDescent="0.35">
      <c r="A41" s="874" t="s">
        <v>385</v>
      </c>
      <c r="B41" s="869" t="s">
        <v>386</v>
      </c>
      <c r="C41" s="870"/>
      <c r="D41" s="448"/>
      <c r="E41" s="448"/>
      <c r="F41" s="448"/>
      <c r="G41" s="448"/>
    </row>
    <row r="42" spans="1:7" x14ac:dyDescent="0.35">
      <c r="A42" s="874" t="s">
        <v>387</v>
      </c>
      <c r="B42" s="869" t="s">
        <v>388</v>
      </c>
      <c r="C42" s="870"/>
      <c r="D42" s="448"/>
      <c r="E42" s="448"/>
      <c r="F42" s="448"/>
      <c r="G42" s="448"/>
    </row>
    <row r="43" spans="1:7" x14ac:dyDescent="0.35">
      <c r="A43" s="868" t="s">
        <v>389</v>
      </c>
      <c r="B43" s="869" t="s">
        <v>390</v>
      </c>
      <c r="C43" s="870"/>
      <c r="D43" s="448"/>
      <c r="E43" s="448"/>
      <c r="F43" s="448"/>
      <c r="G43" s="448"/>
    </row>
    <row r="44" spans="1:7" x14ac:dyDescent="0.35">
      <c r="A44" s="874" t="s">
        <v>391</v>
      </c>
      <c r="B44" s="869" t="s">
        <v>392</v>
      </c>
      <c r="C44" s="870"/>
      <c r="D44" s="448"/>
      <c r="E44" s="448"/>
      <c r="F44" s="448"/>
      <c r="G44" s="448"/>
    </row>
    <row r="45" spans="1:7" x14ac:dyDescent="0.35">
      <c r="A45" s="874" t="s">
        <v>393</v>
      </c>
      <c r="B45" s="869" t="s">
        <v>394</v>
      </c>
      <c r="C45" s="870"/>
      <c r="D45" s="448"/>
      <c r="E45" s="448"/>
      <c r="F45" s="448"/>
      <c r="G45" s="448"/>
    </row>
    <row r="46" spans="1:7" x14ac:dyDescent="0.35">
      <c r="A46" s="874" t="s">
        <v>395</v>
      </c>
      <c r="B46" s="869" t="s">
        <v>396</v>
      </c>
      <c r="C46" s="870"/>
      <c r="D46" s="448"/>
      <c r="E46" s="448"/>
      <c r="F46" s="448"/>
      <c r="G46" s="448"/>
    </row>
    <row r="47" spans="1:7" x14ac:dyDescent="0.35">
      <c r="A47" s="868" t="s">
        <v>397</v>
      </c>
      <c r="B47" s="869" t="s">
        <v>398</v>
      </c>
      <c r="C47" s="870"/>
      <c r="D47" s="448"/>
      <c r="E47" s="448"/>
      <c r="F47" s="448"/>
      <c r="G47" s="448"/>
    </row>
    <row r="48" spans="1:7" x14ac:dyDescent="0.35">
      <c r="A48" s="867"/>
      <c r="B48" s="867" t="s">
        <v>399</v>
      </c>
      <c r="C48" s="883"/>
      <c r="D48" s="448"/>
      <c r="E48" s="448"/>
      <c r="F48" s="448"/>
      <c r="G48" s="448"/>
    </row>
    <row r="49" spans="1:7" x14ac:dyDescent="0.35">
      <c r="A49" s="453"/>
      <c r="B49" s="877" t="s">
        <v>400</v>
      </c>
      <c r="C49" s="878">
        <f t="shared" ref="C49:G49" si="12">C37</f>
        <v>137075.80671999999</v>
      </c>
      <c r="D49" s="878">
        <f t="shared" si="12"/>
        <v>142424.17959646462</v>
      </c>
      <c r="E49" s="878">
        <f t="shared" si="12"/>
        <v>152536.31360304245</v>
      </c>
      <c r="F49" s="878">
        <f t="shared" si="12"/>
        <v>158918.14078319463</v>
      </c>
      <c r="G49" s="889">
        <f t="shared" si="12"/>
        <v>170210.0213743512</v>
      </c>
    </row>
    <row r="50" spans="1:7" x14ac:dyDescent="0.35">
      <c r="A50" s="453"/>
      <c r="B50" s="869" t="s">
        <v>1556</v>
      </c>
      <c r="C50" s="870">
        <v>1335.3</v>
      </c>
      <c r="D50" s="448">
        <f>C50</f>
        <v>1335.3</v>
      </c>
      <c r="E50" s="448">
        <f t="shared" ref="E50:G50" si="13">D50</f>
        <v>1335.3</v>
      </c>
      <c r="F50" s="448">
        <f t="shared" si="13"/>
        <v>1335.3</v>
      </c>
      <c r="G50" s="448">
        <f t="shared" si="13"/>
        <v>1335.3</v>
      </c>
    </row>
    <row r="51" spans="1:7" x14ac:dyDescent="0.35">
      <c r="A51" s="453"/>
      <c r="B51" s="879" t="s">
        <v>1555</v>
      </c>
      <c r="C51" s="870">
        <v>9631.91</v>
      </c>
      <c r="D51" s="448">
        <v>10296.469999999999</v>
      </c>
      <c r="E51" s="448">
        <v>13994.92</v>
      </c>
      <c r="F51" s="448">
        <v>11480.99</v>
      </c>
      <c r="G51" s="448">
        <v>8258.31</v>
      </c>
    </row>
    <row r="52" spans="1:7" x14ac:dyDescent="0.35">
      <c r="A52" s="453"/>
      <c r="B52" s="869" t="s">
        <v>1201</v>
      </c>
      <c r="C52" s="870">
        <v>2193.4</v>
      </c>
      <c r="D52" s="448">
        <v>2326.4</v>
      </c>
      <c r="E52" s="448">
        <v>3066</v>
      </c>
      <c r="F52" s="448">
        <v>2563.3000000000002</v>
      </c>
      <c r="G52" s="448">
        <v>1918.7</v>
      </c>
    </row>
    <row r="53" spans="1:7" x14ac:dyDescent="0.35">
      <c r="A53" s="453"/>
      <c r="B53" s="869" t="s">
        <v>401</v>
      </c>
      <c r="C53" s="941">
        <f>C49+C52+C50+C51</f>
        <v>150236.41671999998</v>
      </c>
      <c r="D53" s="941">
        <f>D49+D52+D50+D51</f>
        <v>156382.3495964646</v>
      </c>
      <c r="E53" s="941">
        <f t="shared" ref="E53:G53" si="14">E49+E52+E50+E51</f>
        <v>170932.53360304245</v>
      </c>
      <c r="F53" s="941">
        <f t="shared" si="14"/>
        <v>174297.73078319459</v>
      </c>
      <c r="G53" s="942">
        <f t="shared" si="14"/>
        <v>181722.3313743512</v>
      </c>
    </row>
    <row r="54" spans="1:7" x14ac:dyDescent="0.35">
      <c r="A54" s="1305"/>
      <c r="B54" s="1305"/>
      <c r="C54" s="452"/>
      <c r="D54" s="914"/>
      <c r="E54" s="914"/>
      <c r="F54" s="452"/>
      <c r="G54" s="452"/>
    </row>
    <row r="55" spans="1:7" x14ac:dyDescent="0.35">
      <c r="D55" s="192"/>
      <c r="E55" s="192"/>
    </row>
    <row r="56" spans="1:7" x14ac:dyDescent="0.35">
      <c r="B56" s="112" t="s">
        <v>782</v>
      </c>
      <c r="D56" s="192"/>
      <c r="E56" s="192"/>
    </row>
    <row r="57" spans="1:7" x14ac:dyDescent="0.35">
      <c r="D57" s="192"/>
      <c r="E57" s="192"/>
    </row>
  </sheetData>
  <mergeCells count="2">
    <mergeCell ref="A54:B54"/>
    <mergeCell ref="A2:B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7" workbookViewId="0">
      <selection activeCell="A4" sqref="A4:C4"/>
    </sheetView>
  </sheetViews>
  <sheetFormatPr defaultRowHeight="13" x14ac:dyDescent="0.3"/>
  <cols>
    <col min="1" max="1" width="6.54296875" style="671" customWidth="1"/>
    <col min="2" max="2" width="42.7265625" style="671" customWidth="1"/>
    <col min="3" max="4" width="11.7265625" style="671" customWidth="1"/>
    <col min="5" max="5" width="9.54296875" style="671" customWidth="1"/>
    <col min="6" max="6" width="9.08984375" style="671" customWidth="1"/>
    <col min="7" max="7" width="9" style="671" bestFit="1" customWidth="1"/>
    <col min="8" max="8" width="10.08984375" style="671" bestFit="1" customWidth="1"/>
    <col min="9" max="16384" width="8.7265625" style="671"/>
  </cols>
  <sheetData>
    <row r="1" spans="1:8" x14ac:dyDescent="0.3">
      <c r="A1" s="1307" t="s">
        <v>835</v>
      </c>
      <c r="B1" s="1307"/>
      <c r="C1" s="1307"/>
    </row>
    <row r="2" spans="1:8" x14ac:dyDescent="0.3">
      <c r="A2" s="1307"/>
      <c r="B2" s="1307"/>
      <c r="C2" s="1307"/>
      <c r="D2" s="671" t="s">
        <v>891</v>
      </c>
    </row>
    <row r="3" spans="1:8" ht="26.5" customHeight="1" x14ac:dyDescent="0.3">
      <c r="A3" s="820" t="s">
        <v>288</v>
      </c>
      <c r="B3" s="820" t="s">
        <v>188</v>
      </c>
      <c r="C3" s="821" t="s">
        <v>289</v>
      </c>
      <c r="D3" s="195" t="s">
        <v>1529</v>
      </c>
      <c r="E3" s="194" t="s">
        <v>1530</v>
      </c>
      <c r="F3" s="194" t="s">
        <v>1531</v>
      </c>
      <c r="G3" s="194" t="s">
        <v>1532</v>
      </c>
      <c r="H3" s="194" t="s">
        <v>1533</v>
      </c>
    </row>
    <row r="4" spans="1:8" ht="11" customHeight="1" x14ac:dyDescent="0.3">
      <c r="A4" s="830">
        <v>1</v>
      </c>
      <c r="B4" s="830">
        <v>2</v>
      </c>
      <c r="C4" s="830">
        <v>3</v>
      </c>
      <c r="D4" s="653">
        <v>4</v>
      </c>
      <c r="E4" s="653">
        <v>5</v>
      </c>
      <c r="F4" s="653">
        <v>6</v>
      </c>
      <c r="G4" s="653">
        <v>7</v>
      </c>
      <c r="H4" s="653">
        <v>8</v>
      </c>
    </row>
    <row r="5" spans="1:8" x14ac:dyDescent="0.3">
      <c r="A5" s="823" t="s">
        <v>26</v>
      </c>
      <c r="B5" s="823" t="s">
        <v>290</v>
      </c>
      <c r="C5" s="823"/>
      <c r="D5" s="560">
        <v>96</v>
      </c>
      <c r="E5" s="560">
        <v>96</v>
      </c>
      <c r="F5" s="560">
        <v>96</v>
      </c>
      <c r="G5" s="560">
        <v>96</v>
      </c>
      <c r="H5" s="560">
        <v>96</v>
      </c>
    </row>
    <row r="6" spans="1:8" x14ac:dyDescent="0.3">
      <c r="A6" s="823"/>
      <c r="B6" s="823" t="s">
        <v>291</v>
      </c>
      <c r="C6" s="824" t="s">
        <v>69</v>
      </c>
      <c r="D6" s="824">
        <v>96</v>
      </c>
      <c r="E6" s="824">
        <v>96</v>
      </c>
      <c r="F6" s="824">
        <v>96</v>
      </c>
      <c r="G6" s="824">
        <v>96</v>
      </c>
      <c r="H6" s="824">
        <v>96</v>
      </c>
    </row>
    <row r="7" spans="1:8" x14ac:dyDescent="0.3">
      <c r="A7" s="823" t="s">
        <v>28</v>
      </c>
      <c r="B7" s="823" t="s">
        <v>292</v>
      </c>
      <c r="C7" s="824"/>
      <c r="D7" s="825"/>
      <c r="E7" s="825"/>
      <c r="F7" s="825"/>
      <c r="G7" s="825"/>
      <c r="H7" s="825"/>
    </row>
    <row r="8" spans="1:8" x14ac:dyDescent="0.3">
      <c r="A8" s="823" t="s">
        <v>293</v>
      </c>
      <c r="B8" s="826" t="s">
        <v>294</v>
      </c>
      <c r="C8" s="824" t="s">
        <v>295</v>
      </c>
      <c r="D8" s="827">
        <v>9294</v>
      </c>
      <c r="E8" s="828">
        <f>D8*1.05</f>
        <v>9758.7000000000007</v>
      </c>
      <c r="F8" s="828">
        <f t="shared" ref="F8:H8" si="0">E8*1.05</f>
        <v>10246.635000000002</v>
      </c>
      <c r="G8" s="828">
        <f t="shared" si="0"/>
        <v>10758.966750000003</v>
      </c>
      <c r="H8" s="828">
        <f t="shared" si="0"/>
        <v>11296.915087500003</v>
      </c>
    </row>
    <row r="9" spans="1:8" x14ac:dyDescent="0.3">
      <c r="A9" s="823" t="s">
        <v>296</v>
      </c>
      <c r="B9" s="823" t="s">
        <v>297</v>
      </c>
      <c r="C9" s="824"/>
      <c r="D9" s="825"/>
      <c r="E9" s="825"/>
      <c r="F9" s="825"/>
      <c r="G9" s="825"/>
      <c r="H9" s="825"/>
    </row>
    <row r="10" spans="1:8" x14ac:dyDescent="0.3">
      <c r="A10" s="823" t="s">
        <v>298</v>
      </c>
      <c r="B10" s="826" t="s">
        <v>299</v>
      </c>
      <c r="C10" s="824" t="s">
        <v>295</v>
      </c>
      <c r="D10" s="829"/>
      <c r="E10" s="829"/>
      <c r="F10" s="829"/>
      <c r="G10" s="829"/>
      <c r="H10" s="829"/>
    </row>
    <row r="11" spans="1:8" x14ac:dyDescent="0.3">
      <c r="A11" s="823" t="s">
        <v>300</v>
      </c>
      <c r="B11" s="823" t="s">
        <v>301</v>
      </c>
      <c r="C11" s="824"/>
      <c r="D11" s="824">
        <v>5</v>
      </c>
      <c r="E11" s="824">
        <v>5</v>
      </c>
      <c r="F11" s="824">
        <v>5</v>
      </c>
      <c r="G11" s="824">
        <v>5</v>
      </c>
      <c r="H11" s="824">
        <v>5</v>
      </c>
    </row>
    <row r="12" spans="1:8" x14ac:dyDescent="0.3">
      <c r="A12" s="1308" t="s">
        <v>302</v>
      </c>
      <c r="B12" s="1309" t="s">
        <v>303</v>
      </c>
      <c r="C12" s="1310"/>
      <c r="D12" s="824">
        <v>1.82</v>
      </c>
      <c r="E12" s="824">
        <v>1.82</v>
      </c>
      <c r="F12" s="824">
        <v>1.82</v>
      </c>
      <c r="G12" s="824">
        <v>1.82</v>
      </c>
      <c r="H12" s="824">
        <v>1.82</v>
      </c>
    </row>
    <row r="13" spans="1:8" ht="26.25" customHeight="1" x14ac:dyDescent="0.3">
      <c r="A13" s="1308"/>
      <c r="B13" s="1309"/>
      <c r="C13" s="1310"/>
      <c r="D13" s="824"/>
      <c r="E13" s="824"/>
      <c r="F13" s="824"/>
      <c r="G13" s="824"/>
      <c r="H13" s="824"/>
    </row>
    <row r="14" spans="1:8" ht="25.5" x14ac:dyDescent="0.3">
      <c r="A14" s="823" t="s">
        <v>304</v>
      </c>
      <c r="B14" s="826" t="s">
        <v>305</v>
      </c>
      <c r="C14" s="824" t="s">
        <v>295</v>
      </c>
      <c r="D14" s="831">
        <f>D8*D12</f>
        <v>16915.080000000002</v>
      </c>
      <c r="E14" s="831">
        <f>E8*E12</f>
        <v>17760.834000000003</v>
      </c>
      <c r="F14" s="831">
        <f>F8*F12</f>
        <v>18648.875700000004</v>
      </c>
      <c r="G14" s="831">
        <f t="shared" ref="G14:H14" si="1">G8*G12</f>
        <v>19581.319485000007</v>
      </c>
      <c r="H14" s="831">
        <f t="shared" si="1"/>
        <v>20560.385459250007</v>
      </c>
    </row>
    <row r="15" spans="1:8" x14ac:dyDescent="0.3">
      <c r="A15" s="823" t="s">
        <v>306</v>
      </c>
      <c r="B15" s="1309" t="s">
        <v>307</v>
      </c>
      <c r="C15" s="1310"/>
      <c r="D15" s="825"/>
      <c r="E15" s="825"/>
      <c r="F15" s="825"/>
      <c r="G15" s="825"/>
      <c r="H15" s="825"/>
    </row>
    <row r="16" spans="1:8" x14ac:dyDescent="0.3">
      <c r="A16" s="823"/>
      <c r="B16" s="1309"/>
      <c r="C16" s="1310"/>
      <c r="D16" s="825"/>
      <c r="E16" s="825"/>
      <c r="F16" s="825"/>
      <c r="G16" s="825"/>
      <c r="H16" s="825"/>
    </row>
    <row r="17" spans="1:8" x14ac:dyDescent="0.3">
      <c r="A17" s="823" t="s">
        <v>308</v>
      </c>
      <c r="B17" s="823" t="s">
        <v>965</v>
      </c>
      <c r="C17" s="824" t="s">
        <v>310</v>
      </c>
      <c r="D17" s="824">
        <v>10</v>
      </c>
      <c r="E17" s="824">
        <v>10</v>
      </c>
      <c r="F17" s="824">
        <v>10</v>
      </c>
      <c r="G17" s="824">
        <v>10</v>
      </c>
      <c r="H17" s="824">
        <v>10</v>
      </c>
    </row>
    <row r="18" spans="1:8" x14ac:dyDescent="0.3">
      <c r="A18" s="823" t="s">
        <v>311</v>
      </c>
      <c r="B18" s="823" t="s">
        <v>312</v>
      </c>
      <c r="C18" s="824" t="s">
        <v>295</v>
      </c>
      <c r="D18" s="831">
        <f t="shared" ref="D18:E18" si="2">D14*D17/100</f>
        <v>1691.5080000000003</v>
      </c>
      <c r="E18" s="831">
        <f t="shared" si="2"/>
        <v>1776.0834000000002</v>
      </c>
      <c r="F18" s="831">
        <f t="shared" ref="F18:H18" si="3">F14*F17/100</f>
        <v>1864.8875700000003</v>
      </c>
      <c r="G18" s="831">
        <f t="shared" si="3"/>
        <v>1958.1319485000008</v>
      </c>
      <c r="H18" s="831">
        <f t="shared" si="3"/>
        <v>2056.038545925001</v>
      </c>
    </row>
    <row r="19" spans="1:8" x14ac:dyDescent="0.3">
      <c r="A19" s="823" t="s">
        <v>313</v>
      </c>
      <c r="B19" s="823" t="s">
        <v>314</v>
      </c>
      <c r="C19" s="824"/>
      <c r="D19" s="825"/>
      <c r="E19" s="825"/>
      <c r="F19" s="825"/>
      <c r="G19" s="825"/>
      <c r="H19" s="825"/>
    </row>
    <row r="20" spans="1:8" x14ac:dyDescent="0.3">
      <c r="A20" s="823" t="s">
        <v>315</v>
      </c>
      <c r="B20" s="823" t="s">
        <v>309</v>
      </c>
      <c r="C20" s="824" t="s">
        <v>310</v>
      </c>
      <c r="D20" s="824">
        <v>70</v>
      </c>
      <c r="E20" s="824">
        <v>70</v>
      </c>
      <c r="F20" s="824">
        <v>70</v>
      </c>
      <c r="G20" s="824">
        <v>70</v>
      </c>
      <c r="H20" s="824">
        <v>70</v>
      </c>
    </row>
    <row r="21" spans="1:8" x14ac:dyDescent="0.3">
      <c r="A21" s="823" t="s">
        <v>316</v>
      </c>
      <c r="B21" s="823" t="s">
        <v>312</v>
      </c>
      <c r="C21" s="824" t="s">
        <v>295</v>
      </c>
      <c r="D21" s="831">
        <f t="shared" ref="D21:E21" si="4">D14*D20/100</f>
        <v>11840.556</v>
      </c>
      <c r="E21" s="831">
        <f t="shared" si="4"/>
        <v>12432.5838</v>
      </c>
      <c r="F21" s="831">
        <f t="shared" ref="F21:H21" si="5">F14*F20/100</f>
        <v>13054.212990000004</v>
      </c>
      <c r="G21" s="831">
        <f t="shared" si="5"/>
        <v>13706.923639500006</v>
      </c>
      <c r="H21" s="831">
        <f t="shared" si="5"/>
        <v>14392.269821475003</v>
      </c>
    </row>
    <row r="22" spans="1:8" x14ac:dyDescent="0.3">
      <c r="A22" s="823" t="s">
        <v>317</v>
      </c>
      <c r="B22" s="826" t="s">
        <v>318</v>
      </c>
      <c r="C22" s="824"/>
      <c r="D22" s="825"/>
      <c r="E22" s="825"/>
      <c r="F22" s="825"/>
      <c r="G22" s="825"/>
      <c r="H22" s="825"/>
    </row>
    <row r="23" spans="1:8" x14ac:dyDescent="0.3">
      <c r="A23" s="823" t="s">
        <v>319</v>
      </c>
      <c r="B23" s="823" t="s">
        <v>966</v>
      </c>
      <c r="C23" s="824" t="s">
        <v>310</v>
      </c>
      <c r="D23" s="824">
        <v>10</v>
      </c>
      <c r="E23" s="824">
        <v>10</v>
      </c>
      <c r="F23" s="824">
        <v>10</v>
      </c>
      <c r="G23" s="824">
        <v>10</v>
      </c>
      <c r="H23" s="824">
        <v>10</v>
      </c>
    </row>
    <row r="24" spans="1:8" x14ac:dyDescent="0.3">
      <c r="A24" s="823" t="s">
        <v>320</v>
      </c>
      <c r="B24" s="823" t="s">
        <v>312</v>
      </c>
      <c r="C24" s="824" t="s">
        <v>295</v>
      </c>
      <c r="D24" s="831">
        <f t="shared" ref="D24:E24" si="6">D14*D23/100</f>
        <v>1691.5080000000003</v>
      </c>
      <c r="E24" s="831">
        <f t="shared" si="6"/>
        <v>1776.0834000000002</v>
      </c>
      <c r="F24" s="831">
        <f t="shared" ref="F24:H24" si="7">F14*F23/100</f>
        <v>1864.8875700000003</v>
      </c>
      <c r="G24" s="831">
        <f t="shared" si="7"/>
        <v>1958.1319485000008</v>
      </c>
      <c r="H24" s="831">
        <f t="shared" si="7"/>
        <v>2056.038545925001</v>
      </c>
    </row>
    <row r="25" spans="1:8" x14ac:dyDescent="0.3">
      <c r="A25" s="823"/>
      <c r="B25" s="823" t="s">
        <v>321</v>
      </c>
      <c r="C25" s="824"/>
      <c r="D25" s="825"/>
      <c r="E25" s="825"/>
      <c r="F25" s="825"/>
      <c r="G25" s="825"/>
      <c r="H25" s="825"/>
    </row>
    <row r="26" spans="1:8" x14ac:dyDescent="0.3">
      <c r="A26" s="823"/>
      <c r="B26" s="823" t="s">
        <v>309</v>
      </c>
      <c r="C26" s="824"/>
      <c r="D26" s="824">
        <v>1</v>
      </c>
      <c r="E26" s="824">
        <v>1</v>
      </c>
      <c r="F26" s="824">
        <v>1</v>
      </c>
      <c r="G26" s="824">
        <v>1</v>
      </c>
      <c r="H26" s="824">
        <v>1</v>
      </c>
    </row>
    <row r="27" spans="1:8" x14ac:dyDescent="0.3">
      <c r="A27" s="823"/>
      <c r="B27" s="823" t="s">
        <v>967</v>
      </c>
      <c r="C27" s="824"/>
      <c r="D27" s="831">
        <f t="shared" ref="D27:E27" si="8">D14*D26/100</f>
        <v>169.1508</v>
      </c>
      <c r="E27" s="831">
        <f t="shared" si="8"/>
        <v>177.60834000000003</v>
      </c>
      <c r="F27" s="831">
        <f t="shared" ref="F27:H27" si="9">F14*F26/100</f>
        <v>186.48875700000005</v>
      </c>
      <c r="G27" s="831">
        <f t="shared" si="9"/>
        <v>195.81319485000006</v>
      </c>
      <c r="H27" s="831">
        <f t="shared" si="9"/>
        <v>205.60385459250006</v>
      </c>
    </row>
    <row r="28" spans="1:8" x14ac:dyDescent="0.3">
      <c r="A28" s="823" t="s">
        <v>322</v>
      </c>
      <c r="B28" s="823" t="s">
        <v>323</v>
      </c>
      <c r="C28" s="824"/>
      <c r="D28" s="825"/>
      <c r="E28" s="825"/>
      <c r="F28" s="825"/>
      <c r="G28" s="825"/>
      <c r="H28" s="825"/>
    </row>
    <row r="29" spans="1:8" x14ac:dyDescent="0.3">
      <c r="A29" s="823" t="s">
        <v>324</v>
      </c>
      <c r="B29" s="823" t="s">
        <v>309</v>
      </c>
      <c r="C29" s="824" t="s">
        <v>310</v>
      </c>
      <c r="D29" s="845">
        <v>15</v>
      </c>
      <c r="E29" s="845">
        <v>15</v>
      </c>
      <c r="F29" s="845">
        <v>20</v>
      </c>
      <c r="G29" s="845">
        <v>20</v>
      </c>
      <c r="H29" s="845">
        <v>25</v>
      </c>
    </row>
    <row r="30" spans="1:8" x14ac:dyDescent="0.3">
      <c r="A30" s="823" t="s">
        <v>325</v>
      </c>
      <c r="B30" s="823" t="s">
        <v>312</v>
      </c>
      <c r="C30" s="824" t="s">
        <v>295</v>
      </c>
      <c r="D30" s="846">
        <f>D14*D29/100</f>
        <v>2537.2620000000002</v>
      </c>
      <c r="E30" s="846">
        <f>E14*E29/100</f>
        <v>2664.1251000000002</v>
      </c>
      <c r="F30" s="846">
        <f>F14*F29/100</f>
        <v>3729.7751400000006</v>
      </c>
      <c r="G30" s="846">
        <f t="shared" ref="G30:H30" si="10">G14*G29/100</f>
        <v>3916.2638970000016</v>
      </c>
      <c r="H30" s="846">
        <f t="shared" si="10"/>
        <v>5140.0963648125016</v>
      </c>
    </row>
    <row r="31" spans="1:8" x14ac:dyDescent="0.3">
      <c r="A31" s="823" t="s">
        <v>326</v>
      </c>
      <c r="B31" s="823" t="s">
        <v>327</v>
      </c>
      <c r="C31" s="824"/>
      <c r="D31" s="825"/>
      <c r="E31" s="825"/>
      <c r="F31" s="825"/>
      <c r="G31" s="825"/>
      <c r="H31" s="825"/>
    </row>
    <row r="32" spans="1:8" x14ac:dyDescent="0.3">
      <c r="A32" s="823" t="s">
        <v>328</v>
      </c>
      <c r="B32" s="823" t="s">
        <v>309</v>
      </c>
      <c r="C32" s="824" t="s">
        <v>310</v>
      </c>
      <c r="D32" s="824"/>
      <c r="E32" s="824"/>
      <c r="F32" s="824"/>
      <c r="G32" s="824"/>
      <c r="H32" s="824"/>
    </row>
    <row r="33" spans="1:8" x14ac:dyDescent="0.3">
      <c r="A33" s="823" t="s">
        <v>329</v>
      </c>
      <c r="B33" s="823" t="s">
        <v>312</v>
      </c>
      <c r="C33" s="824" t="s">
        <v>295</v>
      </c>
      <c r="D33" s="831"/>
      <c r="E33" s="831"/>
      <c r="F33" s="831"/>
      <c r="G33" s="831"/>
      <c r="H33" s="831"/>
    </row>
    <row r="34" spans="1:8" ht="25.5" x14ac:dyDescent="0.3">
      <c r="A34" s="823" t="s">
        <v>330</v>
      </c>
      <c r="B34" s="826" t="s">
        <v>331</v>
      </c>
      <c r="C34" s="824"/>
      <c r="D34" s="825"/>
      <c r="E34" s="825"/>
      <c r="F34" s="825"/>
      <c r="G34" s="825"/>
      <c r="H34" s="825"/>
    </row>
    <row r="35" spans="1:8" x14ac:dyDescent="0.3">
      <c r="A35" s="823" t="s">
        <v>332</v>
      </c>
      <c r="B35" s="823" t="s">
        <v>309</v>
      </c>
      <c r="C35" s="824" t="s">
        <v>310</v>
      </c>
      <c r="D35" s="824">
        <v>100</v>
      </c>
      <c r="E35" s="824">
        <v>100</v>
      </c>
      <c r="F35" s="824">
        <v>100</v>
      </c>
      <c r="G35" s="824">
        <v>100</v>
      </c>
      <c r="H35" s="824">
        <v>100</v>
      </c>
    </row>
    <row r="36" spans="1:8" x14ac:dyDescent="0.3">
      <c r="A36" s="832" t="s">
        <v>333</v>
      </c>
      <c r="B36" s="823" t="s">
        <v>312</v>
      </c>
      <c r="C36" s="824" t="s">
        <v>295</v>
      </c>
      <c r="D36" s="831">
        <f>(D14+D18+D21+D30+D33+D27+D24)*D35/100</f>
        <v>34845.064800000007</v>
      </c>
      <c r="E36" s="831">
        <f>(E14+E18+E21+E30+E33+E27+E24)*E35/100</f>
        <v>36587.318040000006</v>
      </c>
      <c r="F36" s="831">
        <f>(F14+F18+F21+F30+F33+F27+F24)*F35/100</f>
        <v>39349.127727000006</v>
      </c>
      <c r="G36" s="831">
        <f t="shared" ref="G36:H36" si="11">(G14+G18+G21+G30+G33+G27+G24)*G35/100</f>
        <v>41316.584113350022</v>
      </c>
      <c r="H36" s="831">
        <f t="shared" si="11"/>
        <v>44410.432591980018</v>
      </c>
    </row>
    <row r="37" spans="1:8" x14ac:dyDescent="0.3">
      <c r="A37" s="823" t="s">
        <v>334</v>
      </c>
      <c r="B37" s="823" t="s">
        <v>335</v>
      </c>
      <c r="C37" s="824" t="s">
        <v>295</v>
      </c>
      <c r="D37" s="833">
        <f>D14+D18+D21+D24+D27+D30+D33+D36</f>
        <v>69690.129600000015</v>
      </c>
      <c r="E37" s="833">
        <f>E14+E18+E21+E24+E27+E30+E33+E36</f>
        <v>73174.636079999997</v>
      </c>
      <c r="F37" s="833">
        <f>F14+F18+F21+F24+F27+F30+F33+F36</f>
        <v>78698.255454000013</v>
      </c>
      <c r="G37" s="833">
        <f t="shared" ref="G37:H37" si="12">G14+G18+G21+G24+G27+G30+G33+G36</f>
        <v>82633.168226700043</v>
      </c>
      <c r="H37" s="833">
        <f t="shared" si="12"/>
        <v>88820.865183960035</v>
      </c>
    </row>
    <row r="38" spans="1:8" x14ac:dyDescent="0.3">
      <c r="A38" s="1308" t="s">
        <v>336</v>
      </c>
      <c r="B38" s="1309" t="s">
        <v>337</v>
      </c>
      <c r="C38" s="1310"/>
      <c r="D38" s="825"/>
      <c r="E38" s="825"/>
      <c r="F38" s="825"/>
      <c r="G38" s="825"/>
      <c r="H38" s="825"/>
    </row>
    <row r="39" spans="1:8" x14ac:dyDescent="0.3">
      <c r="A39" s="1308"/>
      <c r="B39" s="1309"/>
      <c r="C39" s="1310"/>
      <c r="D39" s="825"/>
      <c r="E39" s="825"/>
      <c r="F39" s="825"/>
      <c r="G39" s="825"/>
      <c r="H39" s="825"/>
    </row>
    <row r="40" spans="1:8" x14ac:dyDescent="0.3">
      <c r="A40" s="823" t="s">
        <v>338</v>
      </c>
      <c r="B40" s="823" t="s">
        <v>855</v>
      </c>
      <c r="C40" s="824" t="s">
        <v>339</v>
      </c>
      <c r="D40" s="824">
        <v>486.4</v>
      </c>
      <c r="E40" s="834">
        <f>D40*1.05</f>
        <v>510.71999999999997</v>
      </c>
      <c r="F40" s="834">
        <f t="shared" ref="F40:H40" si="13">E40*1.05</f>
        <v>536.25599999999997</v>
      </c>
      <c r="G40" s="834">
        <f t="shared" si="13"/>
        <v>563.06880000000001</v>
      </c>
      <c r="H40" s="834">
        <f t="shared" si="13"/>
        <v>591.22224000000006</v>
      </c>
    </row>
    <row r="41" spans="1:8" x14ac:dyDescent="0.3">
      <c r="A41" s="823" t="s">
        <v>340</v>
      </c>
      <c r="B41" s="823"/>
      <c r="C41" s="824" t="s">
        <v>339</v>
      </c>
      <c r="D41" s="824"/>
      <c r="E41" s="824"/>
      <c r="F41" s="824"/>
      <c r="G41" s="824"/>
      <c r="H41" s="824"/>
    </row>
    <row r="42" spans="1:8" x14ac:dyDescent="0.3">
      <c r="A42" s="835" t="s">
        <v>341</v>
      </c>
      <c r="B42" s="836" t="s">
        <v>342</v>
      </c>
      <c r="C42" s="824" t="s">
        <v>339</v>
      </c>
      <c r="D42" s="837">
        <f>D37*D6*12/1000+D40</f>
        <v>80769.429299200012</v>
      </c>
      <c r="E42" s="837">
        <f>E37*E6*12/1000+E40</f>
        <v>84807.900764159989</v>
      </c>
      <c r="F42" s="837">
        <f>F37*F6*12/1000+F40</f>
        <v>91196.646283007998</v>
      </c>
      <c r="G42" s="837">
        <f t="shared" ref="G42:H42" si="14">G37*G6*12/1000+G40</f>
        <v>95756.47859715845</v>
      </c>
      <c r="H42" s="837">
        <f t="shared" si="14"/>
        <v>102912.85893192195</v>
      </c>
    </row>
    <row r="43" spans="1:8" ht="25.5" x14ac:dyDescent="0.3">
      <c r="A43" s="835"/>
      <c r="B43" s="826" t="s">
        <v>343</v>
      </c>
      <c r="C43" s="824"/>
      <c r="D43" s="838">
        <f>D42/D6/12*1000</f>
        <v>70112.351822222234</v>
      </c>
      <c r="E43" s="838">
        <f>E42/E6/12*1000</f>
        <v>73617.969413333325</v>
      </c>
      <c r="F43" s="838">
        <f>F42/F6/12*1000</f>
        <v>79163.755453999998</v>
      </c>
      <c r="G43" s="838">
        <f t="shared" ref="G43:H43" si="15">G42/G6/12*1000</f>
        <v>83121.943226700037</v>
      </c>
      <c r="H43" s="838">
        <f t="shared" si="15"/>
        <v>89334.078933960031</v>
      </c>
    </row>
    <row r="44" spans="1:8" x14ac:dyDescent="0.3">
      <c r="A44" s="839"/>
      <c r="B44" s="840"/>
      <c r="C44" s="839"/>
      <c r="D44" s="825"/>
      <c r="E44" s="825"/>
      <c r="F44" s="825"/>
      <c r="G44" s="825"/>
      <c r="H44" s="825"/>
    </row>
    <row r="45" spans="1:8" x14ac:dyDescent="0.3">
      <c r="A45" s="653"/>
      <c r="B45" s="823" t="s">
        <v>781</v>
      </c>
      <c r="C45" s="560" t="s">
        <v>295</v>
      </c>
      <c r="D45" s="825"/>
      <c r="E45" s="825"/>
      <c r="F45" s="825"/>
      <c r="G45" s="825"/>
      <c r="H45" s="825"/>
    </row>
    <row r="46" spans="1:8" x14ac:dyDescent="0.3">
      <c r="A46" s="841"/>
      <c r="B46" s="842" t="s">
        <v>344</v>
      </c>
      <c r="C46" s="822" t="s">
        <v>310</v>
      </c>
      <c r="D46" s="829"/>
      <c r="E46" s="829"/>
      <c r="F46" s="829"/>
      <c r="G46" s="829"/>
      <c r="H46" s="829"/>
    </row>
    <row r="47" spans="1:8" x14ac:dyDescent="0.3">
      <c r="B47" s="843"/>
    </row>
    <row r="48" spans="1:8" x14ac:dyDescent="0.3">
      <c r="B48" s="671" t="s">
        <v>834</v>
      </c>
    </row>
    <row r="49" spans="1:4" ht="27" customHeight="1" x14ac:dyDescent="0.3">
      <c r="A49" s="1311" t="s">
        <v>833</v>
      </c>
      <c r="B49" s="1311"/>
      <c r="C49" s="1311"/>
      <c r="D49" s="1311"/>
    </row>
    <row r="50" spans="1:4" ht="15" customHeight="1" x14ac:dyDescent="0.3">
      <c r="A50" s="671" t="s">
        <v>885</v>
      </c>
      <c r="C50" s="844"/>
      <c r="D50" s="844"/>
    </row>
    <row r="51" spans="1:4" ht="15" customHeight="1" x14ac:dyDescent="0.3">
      <c r="A51" s="844"/>
      <c r="B51" s="844"/>
      <c r="C51" s="844"/>
      <c r="D51" s="844"/>
    </row>
  </sheetData>
  <mergeCells count="10">
    <mergeCell ref="A1:C2"/>
    <mergeCell ref="A12:A13"/>
    <mergeCell ref="B12:B13"/>
    <mergeCell ref="C12:C13"/>
    <mergeCell ref="A49:D49"/>
    <mergeCell ref="A38:A39"/>
    <mergeCell ref="B38:B39"/>
    <mergeCell ref="C38:C39"/>
    <mergeCell ref="B15:B16"/>
    <mergeCell ref="C15:C1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27" sqref="A1:G27"/>
    </sheetView>
  </sheetViews>
  <sheetFormatPr defaultRowHeight="14.5" x14ac:dyDescent="0.35"/>
  <cols>
    <col min="1" max="1" width="5" customWidth="1"/>
    <col min="2" max="2" width="40.90625" customWidth="1"/>
    <col min="3" max="7" width="12.08984375" customWidth="1"/>
  </cols>
  <sheetData>
    <row r="1" spans="1:7" x14ac:dyDescent="0.35">
      <c r="B1" s="41"/>
      <c r="C1" t="s">
        <v>785</v>
      </c>
    </row>
    <row r="2" spans="1:7" x14ac:dyDescent="0.35">
      <c r="B2" s="41"/>
    </row>
    <row r="3" spans="1:7" x14ac:dyDescent="0.35">
      <c r="A3" s="224" t="s">
        <v>412</v>
      </c>
      <c r="B3" s="224"/>
      <c r="C3" s="224"/>
    </row>
    <row r="4" spans="1:7" x14ac:dyDescent="0.35">
      <c r="A4" s="114"/>
      <c r="B4" s="41"/>
    </row>
    <row r="5" spans="1:7" ht="37.5" x14ac:dyDescent="0.35">
      <c r="A5" s="813"/>
      <c r="B5" s="814"/>
      <c r="C5" s="115" t="s">
        <v>1517</v>
      </c>
      <c r="D5" s="115" t="s">
        <v>1525</v>
      </c>
      <c r="E5" s="115" t="s">
        <v>1526</v>
      </c>
      <c r="F5" s="115" t="s">
        <v>1527</v>
      </c>
      <c r="G5" s="115" t="s">
        <v>1528</v>
      </c>
    </row>
    <row r="6" spans="1:7" x14ac:dyDescent="0.35">
      <c r="A6" s="116">
        <v>1</v>
      </c>
      <c r="B6" s="117">
        <v>2</v>
      </c>
      <c r="C6" s="118">
        <v>3</v>
      </c>
      <c r="D6" s="38"/>
      <c r="E6" s="38"/>
      <c r="F6" s="38"/>
      <c r="G6" s="38"/>
    </row>
    <row r="7" spans="1:7" x14ac:dyDescent="0.35">
      <c r="A7" s="119" t="s">
        <v>413</v>
      </c>
      <c r="B7" s="119" t="s">
        <v>414</v>
      </c>
      <c r="C7" s="207">
        <f>C9</f>
        <v>15523.380000000001</v>
      </c>
      <c r="D7" s="812">
        <f t="shared" ref="D7:G7" si="0">D9</f>
        <v>16187.939999999999</v>
      </c>
      <c r="E7" s="812">
        <f t="shared" si="0"/>
        <v>19886.39</v>
      </c>
      <c r="F7" s="812">
        <f t="shared" si="0"/>
        <v>17372.46</v>
      </c>
      <c r="G7" s="812">
        <f t="shared" si="0"/>
        <v>14149.779999999999</v>
      </c>
    </row>
    <row r="8" spans="1:7" x14ac:dyDescent="0.35">
      <c r="A8" s="119"/>
      <c r="B8" s="119" t="s">
        <v>415</v>
      </c>
      <c r="C8" s="207"/>
      <c r="D8" s="38"/>
      <c r="E8" s="38"/>
      <c r="F8" s="38"/>
      <c r="G8" s="38"/>
    </row>
    <row r="9" spans="1:7" ht="25" x14ac:dyDescent="0.35">
      <c r="A9" s="119"/>
      <c r="B9" s="119" t="s">
        <v>416</v>
      </c>
      <c r="C9" s="900">
        <f>C13+C25</f>
        <v>15523.380000000001</v>
      </c>
      <c r="D9" s="900">
        <f t="shared" ref="D9:G9" si="1">D13+D25</f>
        <v>16187.939999999999</v>
      </c>
      <c r="E9" s="900">
        <f t="shared" si="1"/>
        <v>19886.39</v>
      </c>
      <c r="F9" s="900">
        <f t="shared" si="1"/>
        <v>17372.46</v>
      </c>
      <c r="G9" s="900">
        <f t="shared" si="1"/>
        <v>14149.779999999999</v>
      </c>
    </row>
    <row r="10" spans="1:7" x14ac:dyDescent="0.35">
      <c r="A10" s="119"/>
      <c r="B10" s="119" t="s">
        <v>417</v>
      </c>
      <c r="C10" s="207"/>
      <c r="D10" s="38"/>
      <c r="E10" s="38"/>
      <c r="F10" s="38"/>
      <c r="G10" s="38"/>
    </row>
    <row r="11" spans="1:7" x14ac:dyDescent="0.35">
      <c r="A11" s="119" t="s">
        <v>418</v>
      </c>
      <c r="B11" s="119" t="s">
        <v>419</v>
      </c>
      <c r="C11" s="207"/>
      <c r="D11" s="38"/>
      <c r="E11" s="38"/>
      <c r="F11" s="38"/>
      <c r="G11" s="38"/>
    </row>
    <row r="12" spans="1:7" x14ac:dyDescent="0.35">
      <c r="A12" s="119"/>
      <c r="B12" s="119" t="s">
        <v>420</v>
      </c>
      <c r="C12" s="207"/>
      <c r="D12" s="38"/>
      <c r="E12" s="38"/>
      <c r="F12" s="38"/>
      <c r="G12" s="38"/>
    </row>
    <row r="13" spans="1:7" x14ac:dyDescent="0.35">
      <c r="A13" s="1316" t="s">
        <v>293</v>
      </c>
      <c r="B13" s="815" t="s">
        <v>421</v>
      </c>
      <c r="C13" s="1313">
        <v>5891.47</v>
      </c>
      <c r="D13" s="1313">
        <v>5891.47</v>
      </c>
      <c r="E13" s="1313">
        <v>5891.47</v>
      </c>
      <c r="F13" s="1313">
        <v>5891.47</v>
      </c>
      <c r="G13" s="1313">
        <v>5891.47</v>
      </c>
    </row>
    <row r="14" spans="1:7" x14ac:dyDescent="0.35">
      <c r="A14" s="1316"/>
      <c r="B14" s="815" t="s">
        <v>422</v>
      </c>
      <c r="C14" s="1314"/>
      <c r="D14" s="1314"/>
      <c r="E14" s="1314"/>
      <c r="F14" s="1314"/>
      <c r="G14" s="1314"/>
    </row>
    <row r="15" spans="1:7" x14ac:dyDescent="0.35">
      <c r="A15" s="118" t="s">
        <v>296</v>
      </c>
      <c r="B15" s="118" t="s">
        <v>423</v>
      </c>
      <c r="C15" s="207"/>
      <c r="D15" s="38"/>
      <c r="E15" s="38"/>
      <c r="F15" s="38"/>
      <c r="G15" s="38"/>
    </row>
    <row r="16" spans="1:7" x14ac:dyDescent="0.35">
      <c r="A16" s="119" t="s">
        <v>298</v>
      </c>
      <c r="B16" s="119" t="s">
        <v>424</v>
      </c>
      <c r="C16" s="207"/>
      <c r="D16" s="38"/>
      <c r="E16" s="38"/>
      <c r="F16" s="38"/>
      <c r="G16" s="38"/>
    </row>
    <row r="17" spans="1:7" x14ac:dyDescent="0.35">
      <c r="A17" s="119" t="s">
        <v>300</v>
      </c>
      <c r="B17" s="119" t="s">
        <v>425</v>
      </c>
      <c r="C17" s="207"/>
      <c r="D17" s="38"/>
      <c r="E17" s="38"/>
      <c r="F17" s="38"/>
      <c r="G17" s="38"/>
    </row>
    <row r="18" spans="1:7" x14ac:dyDescent="0.35">
      <c r="A18" s="1315" t="s">
        <v>302</v>
      </c>
      <c r="B18" s="119" t="s">
        <v>426</v>
      </c>
      <c r="C18" s="1312"/>
      <c r="D18" s="1312"/>
      <c r="E18" s="1312"/>
      <c r="F18" s="1312"/>
      <c r="G18" s="1312"/>
    </row>
    <row r="19" spans="1:7" x14ac:dyDescent="0.35">
      <c r="A19" s="1315"/>
      <c r="B19" s="119" t="s">
        <v>427</v>
      </c>
      <c r="C19" s="1312"/>
      <c r="D19" s="1312"/>
      <c r="E19" s="1312"/>
      <c r="F19" s="1312"/>
      <c r="G19" s="1312"/>
    </row>
    <row r="20" spans="1:7" x14ac:dyDescent="0.35">
      <c r="A20" s="119" t="s">
        <v>304</v>
      </c>
      <c r="B20" s="119" t="s">
        <v>428</v>
      </c>
      <c r="C20" s="207"/>
      <c r="D20" s="812"/>
      <c r="E20" s="812"/>
      <c r="F20" s="812"/>
      <c r="G20" s="812"/>
    </row>
    <row r="21" spans="1:7" x14ac:dyDescent="0.35">
      <c r="A21" s="1315" t="s">
        <v>306</v>
      </c>
      <c r="B21" s="119" t="s">
        <v>429</v>
      </c>
      <c r="C21" s="1312"/>
      <c r="D21" s="1312"/>
      <c r="E21" s="1312"/>
      <c r="F21" s="1312"/>
      <c r="G21" s="1312"/>
    </row>
    <row r="22" spans="1:7" x14ac:dyDescent="0.35">
      <c r="A22" s="1315"/>
      <c r="B22" s="119" t="s">
        <v>430</v>
      </c>
      <c r="C22" s="1312"/>
      <c r="D22" s="1312"/>
      <c r="E22" s="1312"/>
      <c r="F22" s="1312"/>
      <c r="G22" s="1312"/>
    </row>
    <row r="23" spans="1:7" x14ac:dyDescent="0.35">
      <c r="A23" s="119" t="s">
        <v>313</v>
      </c>
      <c r="B23" s="119" t="s">
        <v>431</v>
      </c>
      <c r="C23" s="207"/>
      <c r="D23" s="38"/>
      <c r="E23" s="38"/>
      <c r="F23" s="38"/>
      <c r="G23" s="38"/>
    </row>
    <row r="24" spans="1:7" x14ac:dyDescent="0.35">
      <c r="A24" s="119" t="s">
        <v>317</v>
      </c>
      <c r="B24" s="119" t="s">
        <v>432</v>
      </c>
      <c r="C24" s="207">
        <f>C13+C15+C16+C17+C18+C20+C21+C23</f>
        <v>5891.47</v>
      </c>
      <c r="D24" s="812">
        <f t="shared" ref="D24:G24" si="2">D13+D15+D16+D17+D18+D20+D21+D23</f>
        <v>5891.47</v>
      </c>
      <c r="E24" s="812">
        <f t="shared" si="2"/>
        <v>5891.47</v>
      </c>
      <c r="F24" s="812">
        <f t="shared" si="2"/>
        <v>5891.47</v>
      </c>
      <c r="G24" s="812">
        <f t="shared" si="2"/>
        <v>5891.47</v>
      </c>
    </row>
    <row r="25" spans="1:7" x14ac:dyDescent="0.35">
      <c r="A25" s="119" t="s">
        <v>322</v>
      </c>
      <c r="B25" s="119" t="s">
        <v>433</v>
      </c>
      <c r="C25" s="207">
        <v>9631.91</v>
      </c>
      <c r="D25" s="812">
        <v>10296.469999999999</v>
      </c>
      <c r="E25" s="812">
        <v>13994.92</v>
      </c>
      <c r="F25" s="812">
        <v>11480.99</v>
      </c>
      <c r="G25" s="812">
        <v>8258.31</v>
      </c>
    </row>
    <row r="26" spans="1:7" x14ac:dyDescent="0.35">
      <c r="A26" s="114"/>
    </row>
    <row r="27" spans="1:7" x14ac:dyDescent="0.35">
      <c r="A27" t="s">
        <v>1097</v>
      </c>
      <c r="B27" s="120"/>
    </row>
  </sheetData>
  <mergeCells count="18">
    <mergeCell ref="C21:C22"/>
    <mergeCell ref="A18:A19"/>
    <mergeCell ref="A21:A22"/>
    <mergeCell ref="A13:A14"/>
    <mergeCell ref="C13:C14"/>
    <mergeCell ref="C18:C19"/>
    <mergeCell ref="D21:D22"/>
    <mergeCell ref="E21:E22"/>
    <mergeCell ref="F21:F22"/>
    <mergeCell ref="G21:G22"/>
    <mergeCell ref="D13:D14"/>
    <mergeCell ref="E13:E14"/>
    <mergeCell ref="F13:F14"/>
    <mergeCell ref="G13:G14"/>
    <mergeCell ref="D18:D19"/>
    <mergeCell ref="E18:E19"/>
    <mergeCell ref="F18:F19"/>
    <mergeCell ref="G18:G19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46" sqref="A1:G46"/>
    </sheetView>
  </sheetViews>
  <sheetFormatPr defaultRowHeight="14.5" x14ac:dyDescent="0.35"/>
  <cols>
    <col min="1" max="1" width="4.1796875" customWidth="1"/>
    <col min="2" max="2" width="37.453125" customWidth="1"/>
    <col min="3" max="3" width="9.36328125" customWidth="1"/>
    <col min="4" max="7" width="9.08984375" customWidth="1"/>
  </cols>
  <sheetData>
    <row r="1" spans="1:7" ht="29" customHeight="1" x14ac:dyDescent="0.35">
      <c r="A1" s="1317" t="s">
        <v>434</v>
      </c>
      <c r="B1" s="1317"/>
      <c r="C1" t="s">
        <v>788</v>
      </c>
    </row>
    <row r="2" spans="1:7" ht="33.5" customHeight="1" x14ac:dyDescent="0.35">
      <c r="A2" s="1317" t="s">
        <v>742</v>
      </c>
      <c r="B2" s="1317"/>
    </row>
    <row r="3" spans="1:7" x14ac:dyDescent="0.35">
      <c r="A3" s="44"/>
      <c r="B3" s="121"/>
      <c r="C3" t="s">
        <v>339</v>
      </c>
    </row>
    <row r="4" spans="1:7" ht="24.75" customHeight="1" x14ac:dyDescent="0.35">
      <c r="A4" s="122" t="s">
        <v>187</v>
      </c>
      <c r="B4" s="194" t="s">
        <v>110</v>
      </c>
      <c r="C4" s="195" t="s">
        <v>1529</v>
      </c>
      <c r="D4" s="194" t="s">
        <v>1530</v>
      </c>
      <c r="E4" s="194" t="s">
        <v>1531</v>
      </c>
      <c r="F4" s="194" t="s">
        <v>1532</v>
      </c>
      <c r="G4" s="194" t="s">
        <v>1533</v>
      </c>
    </row>
    <row r="5" spans="1:7" x14ac:dyDescent="0.35">
      <c r="A5" s="122"/>
      <c r="B5" s="194"/>
      <c r="C5" s="195"/>
      <c r="D5" s="38"/>
      <c r="E5" s="38"/>
      <c r="F5" s="38"/>
      <c r="G5" s="38"/>
    </row>
    <row r="6" spans="1:7" x14ac:dyDescent="0.35">
      <c r="A6" s="122">
        <v>1</v>
      </c>
      <c r="B6" s="122">
        <v>2</v>
      </c>
      <c r="C6" s="123"/>
      <c r="D6" s="38"/>
      <c r="E6" s="38"/>
      <c r="F6" s="38"/>
      <c r="G6" s="38"/>
    </row>
    <row r="7" spans="1:7" x14ac:dyDescent="0.35">
      <c r="A7" s="124" t="s">
        <v>26</v>
      </c>
      <c r="B7" s="122" t="s">
        <v>435</v>
      </c>
      <c r="C7" s="125">
        <f>C11+C10+C9</f>
        <v>9631.91</v>
      </c>
      <c r="D7" s="125">
        <f t="shared" ref="D7:G7" si="0">D11+D10+D9</f>
        <v>10296.469999999999</v>
      </c>
      <c r="E7" s="125">
        <f t="shared" si="0"/>
        <v>13994.92</v>
      </c>
      <c r="F7" s="125">
        <f t="shared" si="0"/>
        <v>11480.99</v>
      </c>
      <c r="G7" s="125">
        <f t="shared" si="0"/>
        <v>8258.31</v>
      </c>
    </row>
    <row r="8" spans="1:7" x14ac:dyDescent="0.35">
      <c r="A8" s="124"/>
      <c r="B8" s="124" t="s">
        <v>436</v>
      </c>
      <c r="C8" s="126"/>
      <c r="D8" s="38"/>
      <c r="E8" s="38"/>
      <c r="F8" s="38"/>
      <c r="G8" s="38"/>
    </row>
    <row r="9" spans="1:7" x14ac:dyDescent="0.35">
      <c r="A9" s="124"/>
      <c r="B9" s="124" t="s">
        <v>1100</v>
      </c>
      <c r="C9" s="128"/>
      <c r="D9" s="38"/>
      <c r="E9" s="38"/>
      <c r="F9" s="38"/>
      <c r="G9" s="38"/>
    </row>
    <row r="10" spans="1:7" x14ac:dyDescent="0.35">
      <c r="A10" s="124"/>
      <c r="B10" s="124" t="s">
        <v>1086</v>
      </c>
      <c r="C10" s="128"/>
      <c r="D10" s="38"/>
      <c r="E10" s="38"/>
      <c r="F10" s="38"/>
      <c r="G10" s="38"/>
    </row>
    <row r="11" spans="1:7" x14ac:dyDescent="0.35">
      <c r="A11" s="124"/>
      <c r="B11" s="123" t="s">
        <v>1087</v>
      </c>
      <c r="C11" s="754">
        <v>9631.91</v>
      </c>
      <c r="D11" s="754">
        <v>10296.469999999999</v>
      </c>
      <c r="E11" s="754">
        <v>13994.92</v>
      </c>
      <c r="F11" s="754">
        <v>11480.99</v>
      </c>
      <c r="G11" s="754">
        <v>8258.31</v>
      </c>
    </row>
    <row r="12" spans="1:7" x14ac:dyDescent="0.35">
      <c r="A12" s="124" t="s">
        <v>28</v>
      </c>
      <c r="B12" s="194" t="s">
        <v>438</v>
      </c>
      <c r="C12" s="125">
        <f>C15+C16+C17+C20+C18+C19+C21+C23+C22+C14</f>
        <v>659.3</v>
      </c>
      <c r="D12" s="125">
        <f t="shared" ref="D12:G12" si="1">D15+D16+D17+D20+D18+D19+D21+D23+D22+D14</f>
        <v>659.3</v>
      </c>
      <c r="E12" s="125">
        <f t="shared" si="1"/>
        <v>659.3</v>
      </c>
      <c r="F12" s="125">
        <f t="shared" si="1"/>
        <v>659.3</v>
      </c>
      <c r="G12" s="125">
        <f t="shared" si="1"/>
        <v>659.3</v>
      </c>
    </row>
    <row r="13" spans="1:7" x14ac:dyDescent="0.35">
      <c r="A13" s="124"/>
      <c r="B13" s="123" t="s">
        <v>436</v>
      </c>
      <c r="C13" s="128"/>
      <c r="D13" s="38"/>
      <c r="E13" s="38"/>
      <c r="F13" s="38"/>
      <c r="G13" s="38"/>
    </row>
    <row r="14" spans="1:7" x14ac:dyDescent="0.35">
      <c r="A14" s="124"/>
      <c r="B14" s="123" t="s">
        <v>1098</v>
      </c>
      <c r="C14" s="128"/>
      <c r="D14" s="38"/>
      <c r="E14" s="38"/>
      <c r="F14" s="38"/>
      <c r="G14" s="38"/>
    </row>
    <row r="15" spans="1:7" x14ac:dyDescent="0.35">
      <c r="A15" s="124"/>
      <c r="B15" s="123" t="s">
        <v>441</v>
      </c>
      <c r="C15" s="128"/>
      <c r="D15" s="38"/>
      <c r="E15" s="38"/>
      <c r="F15" s="38"/>
      <c r="G15" s="38"/>
    </row>
    <row r="16" spans="1:7" x14ac:dyDescent="0.35">
      <c r="A16" s="124"/>
      <c r="B16" s="123" t="s">
        <v>442</v>
      </c>
      <c r="C16" s="128"/>
      <c r="D16" s="38"/>
      <c r="E16" s="38"/>
      <c r="F16" s="38"/>
      <c r="G16" s="38"/>
    </row>
    <row r="17" spans="1:7" x14ac:dyDescent="0.35">
      <c r="A17" s="124"/>
      <c r="B17" s="123" t="s">
        <v>832</v>
      </c>
      <c r="C17" s="128">
        <v>61.3</v>
      </c>
      <c r="D17" s="128">
        <v>61.3</v>
      </c>
      <c r="E17" s="128">
        <v>61.3</v>
      </c>
      <c r="F17" s="128">
        <v>61.3</v>
      </c>
      <c r="G17" s="128">
        <v>61.3</v>
      </c>
    </row>
    <row r="18" spans="1:7" x14ac:dyDescent="0.35">
      <c r="A18" s="124"/>
      <c r="B18" s="123" t="s">
        <v>440</v>
      </c>
      <c r="C18" s="128">
        <v>199.6</v>
      </c>
      <c r="D18" s="128">
        <v>199.6</v>
      </c>
      <c r="E18" s="128">
        <v>199.6</v>
      </c>
      <c r="F18" s="128">
        <v>199.6</v>
      </c>
      <c r="G18" s="128">
        <v>199.6</v>
      </c>
    </row>
    <row r="19" spans="1:7" ht="21" x14ac:dyDescent="0.35">
      <c r="A19" s="124"/>
      <c r="B19" s="123" t="s">
        <v>443</v>
      </c>
      <c r="C19" s="128"/>
      <c r="D19" s="38"/>
      <c r="E19" s="38"/>
      <c r="F19" s="38"/>
      <c r="G19" s="38"/>
    </row>
    <row r="20" spans="1:7" x14ac:dyDescent="0.35">
      <c r="A20" s="124"/>
      <c r="B20" s="124" t="s">
        <v>444</v>
      </c>
      <c r="C20" s="128"/>
      <c r="D20" s="38"/>
      <c r="E20" s="38"/>
      <c r="F20" s="38"/>
      <c r="G20" s="38"/>
    </row>
    <row r="21" spans="1:7" x14ac:dyDescent="0.35">
      <c r="A21" s="124"/>
      <c r="B21" s="124" t="s">
        <v>445</v>
      </c>
      <c r="C21" s="126"/>
      <c r="D21" s="38"/>
      <c r="E21" s="38"/>
      <c r="F21" s="38"/>
      <c r="G21" s="38"/>
    </row>
    <row r="22" spans="1:7" ht="21" x14ac:dyDescent="0.35">
      <c r="A22" s="124"/>
      <c r="B22" s="124" t="s">
        <v>1088</v>
      </c>
      <c r="C22" s="128">
        <v>146.4</v>
      </c>
      <c r="D22" s="128">
        <v>146.4</v>
      </c>
      <c r="E22" s="128">
        <v>146.4</v>
      </c>
      <c r="F22" s="128">
        <v>146.4</v>
      </c>
      <c r="G22" s="128">
        <v>146.4</v>
      </c>
    </row>
    <row r="23" spans="1:7" ht="21" customHeight="1" x14ac:dyDescent="0.35">
      <c r="A23" s="124"/>
      <c r="B23" s="124" t="s">
        <v>1371</v>
      </c>
      <c r="C23" s="126">
        <v>252</v>
      </c>
      <c r="D23" s="126">
        <v>252</v>
      </c>
      <c r="E23" s="126">
        <v>252</v>
      </c>
      <c r="F23" s="126">
        <v>252</v>
      </c>
      <c r="G23" s="126">
        <v>252</v>
      </c>
    </row>
    <row r="24" spans="1:7" x14ac:dyDescent="0.35">
      <c r="A24" s="124" t="s">
        <v>30</v>
      </c>
      <c r="B24" s="122" t="s">
        <v>448</v>
      </c>
      <c r="C24" s="127">
        <f t="shared" ref="C24:G24" si="2">C28+C29+C30+C26+C27+C25</f>
        <v>626</v>
      </c>
      <c r="D24" s="127">
        <f t="shared" si="2"/>
        <v>626</v>
      </c>
      <c r="E24" s="127">
        <f t="shared" si="2"/>
        <v>626</v>
      </c>
      <c r="F24" s="127">
        <f t="shared" si="2"/>
        <v>626</v>
      </c>
      <c r="G24" s="127">
        <f t="shared" si="2"/>
        <v>626</v>
      </c>
    </row>
    <row r="25" spans="1:7" x14ac:dyDescent="0.35">
      <c r="A25" s="124"/>
      <c r="B25" s="124" t="s">
        <v>449</v>
      </c>
      <c r="C25" s="129">
        <v>30</v>
      </c>
      <c r="D25" s="129">
        <v>30</v>
      </c>
      <c r="E25" s="129">
        <v>30</v>
      </c>
      <c r="F25" s="129">
        <v>30</v>
      </c>
      <c r="G25" s="129">
        <v>30</v>
      </c>
    </row>
    <row r="26" spans="1:7" x14ac:dyDescent="0.35">
      <c r="A26" s="124"/>
      <c r="B26" s="124" t="s">
        <v>450</v>
      </c>
      <c r="C26" s="129">
        <v>480</v>
      </c>
      <c r="D26" s="129">
        <v>480</v>
      </c>
      <c r="E26" s="129">
        <v>480</v>
      </c>
      <c r="F26" s="129">
        <v>480</v>
      </c>
      <c r="G26" s="129">
        <v>480</v>
      </c>
    </row>
    <row r="27" spans="1:7" x14ac:dyDescent="0.35">
      <c r="A27" s="124"/>
      <c r="B27" s="124" t="s">
        <v>1099</v>
      </c>
      <c r="C27" s="129">
        <v>30</v>
      </c>
      <c r="D27" s="129">
        <v>30</v>
      </c>
      <c r="E27" s="129">
        <v>30</v>
      </c>
      <c r="F27" s="129">
        <v>30</v>
      </c>
      <c r="G27" s="129">
        <v>30</v>
      </c>
    </row>
    <row r="28" spans="1:7" x14ac:dyDescent="0.35">
      <c r="A28" s="124"/>
      <c r="B28" s="124" t="s">
        <v>451</v>
      </c>
      <c r="C28" s="129"/>
      <c r="D28" s="129"/>
      <c r="E28" s="129"/>
      <c r="F28" s="129"/>
      <c r="G28" s="129"/>
    </row>
    <row r="29" spans="1:7" x14ac:dyDescent="0.35">
      <c r="A29" s="124"/>
      <c r="B29" s="124" t="s">
        <v>452</v>
      </c>
      <c r="C29" s="129">
        <v>56</v>
      </c>
      <c r="D29" s="129">
        <v>56</v>
      </c>
      <c r="E29" s="129">
        <v>56</v>
      </c>
      <c r="F29" s="129">
        <v>56</v>
      </c>
      <c r="G29" s="129">
        <v>56</v>
      </c>
    </row>
    <row r="30" spans="1:7" x14ac:dyDescent="0.35">
      <c r="A30" s="124"/>
      <c r="B30" s="124" t="s">
        <v>453</v>
      </c>
      <c r="C30" s="129">
        <v>30</v>
      </c>
      <c r="D30" s="129">
        <v>30</v>
      </c>
      <c r="E30" s="129">
        <v>30</v>
      </c>
      <c r="F30" s="129">
        <v>30</v>
      </c>
      <c r="G30" s="129">
        <v>30</v>
      </c>
    </row>
    <row r="31" spans="1:7" x14ac:dyDescent="0.35">
      <c r="A31" s="124" t="s">
        <v>206</v>
      </c>
      <c r="B31" s="122" t="s">
        <v>454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</row>
    <row r="32" spans="1:7" x14ac:dyDescent="0.35">
      <c r="A32" s="124" t="s">
        <v>278</v>
      </c>
      <c r="B32" s="122" t="s">
        <v>455</v>
      </c>
      <c r="C32" s="130">
        <f>C36</f>
        <v>50</v>
      </c>
      <c r="D32" s="130">
        <f t="shared" ref="D32:G32" si="3">D36</f>
        <v>50</v>
      </c>
      <c r="E32" s="130">
        <f t="shared" si="3"/>
        <v>50</v>
      </c>
      <c r="F32" s="130">
        <f t="shared" si="3"/>
        <v>50</v>
      </c>
      <c r="G32" s="130">
        <f t="shared" si="3"/>
        <v>50</v>
      </c>
    </row>
    <row r="33" spans="1:7" x14ac:dyDescent="0.35">
      <c r="A33" s="124"/>
      <c r="B33" s="124" t="s">
        <v>456</v>
      </c>
      <c r="C33" s="131"/>
      <c r="D33" s="131"/>
      <c r="E33" s="131"/>
      <c r="F33" s="131"/>
      <c r="G33" s="131"/>
    </row>
    <row r="34" spans="1:7" x14ac:dyDescent="0.35">
      <c r="A34" s="124"/>
      <c r="B34" s="124" t="s">
        <v>457</v>
      </c>
      <c r="C34" s="126"/>
      <c r="D34" s="126"/>
      <c r="E34" s="126"/>
      <c r="F34" s="126"/>
      <c r="G34" s="126"/>
    </row>
    <row r="35" spans="1:7" x14ac:dyDescent="0.35">
      <c r="A35" s="124"/>
      <c r="B35" s="124" t="s">
        <v>458</v>
      </c>
      <c r="C35" s="126"/>
      <c r="D35" s="126"/>
      <c r="E35" s="126"/>
      <c r="F35" s="126"/>
      <c r="G35" s="126"/>
    </row>
    <row r="36" spans="1:7" x14ac:dyDescent="0.35">
      <c r="A36" s="124"/>
      <c r="B36" s="124" t="s">
        <v>410</v>
      </c>
      <c r="C36" s="128">
        <v>50</v>
      </c>
      <c r="D36" s="128">
        <v>50</v>
      </c>
      <c r="E36" s="128">
        <v>50</v>
      </c>
      <c r="F36" s="128">
        <v>50</v>
      </c>
      <c r="G36" s="128">
        <v>50</v>
      </c>
    </row>
    <row r="37" spans="1:7" x14ac:dyDescent="0.35">
      <c r="A37" s="124"/>
      <c r="B37" s="124" t="s">
        <v>457</v>
      </c>
      <c r="C37" s="128"/>
      <c r="D37" s="128"/>
      <c r="E37" s="128"/>
      <c r="F37" s="128"/>
      <c r="G37" s="128"/>
    </row>
    <row r="38" spans="1:7" x14ac:dyDescent="0.35">
      <c r="A38" s="124"/>
      <c r="B38" s="124" t="s">
        <v>459</v>
      </c>
      <c r="C38" s="128"/>
      <c r="D38" s="128"/>
      <c r="E38" s="128"/>
      <c r="F38" s="128"/>
      <c r="G38" s="128"/>
    </row>
    <row r="39" spans="1:7" x14ac:dyDescent="0.35">
      <c r="A39" s="124"/>
      <c r="B39" s="124" t="s">
        <v>460</v>
      </c>
      <c r="C39" s="128"/>
      <c r="D39" s="128"/>
      <c r="E39" s="128"/>
      <c r="F39" s="128"/>
      <c r="G39" s="128"/>
    </row>
    <row r="40" spans="1:7" x14ac:dyDescent="0.35">
      <c r="A40" s="124" t="s">
        <v>461</v>
      </c>
      <c r="B40" s="124" t="s">
        <v>462</v>
      </c>
      <c r="C40" s="132">
        <f>C7+C12+C24+C32</f>
        <v>10967.21</v>
      </c>
      <c r="D40" s="132">
        <f>D7+D12+D24+D32</f>
        <v>11631.769999999999</v>
      </c>
      <c r="E40" s="132">
        <f t="shared" ref="E40:G40" si="4">E7+E12+E24+E32</f>
        <v>15330.22</v>
      </c>
      <c r="F40" s="132">
        <f t="shared" si="4"/>
        <v>12816.289999999999</v>
      </c>
      <c r="G40" s="132">
        <f t="shared" si="4"/>
        <v>9593.6099999999988</v>
      </c>
    </row>
    <row r="41" spans="1:7" x14ac:dyDescent="0.35">
      <c r="A41" s="124" t="s">
        <v>32</v>
      </c>
      <c r="B41" s="124" t="s">
        <v>463</v>
      </c>
      <c r="C41" s="133">
        <f>C42</f>
        <v>2193.442</v>
      </c>
      <c r="D41" s="133">
        <f t="shared" ref="D41:G41" si="5">D42</f>
        <v>2326.3539999999998</v>
      </c>
      <c r="E41" s="133">
        <f t="shared" si="5"/>
        <v>3066.0439999999999</v>
      </c>
      <c r="F41" s="133">
        <f t="shared" si="5"/>
        <v>2563.2579999999998</v>
      </c>
      <c r="G41" s="133">
        <f t="shared" si="5"/>
        <v>1918.7219999999998</v>
      </c>
    </row>
    <row r="42" spans="1:7" x14ac:dyDescent="0.35">
      <c r="A42" s="124"/>
      <c r="B42" s="124" t="s">
        <v>464</v>
      </c>
      <c r="C42" s="561">
        <f>C40*20%</f>
        <v>2193.442</v>
      </c>
      <c r="D42" s="561">
        <f t="shared" ref="D42:G42" si="6">D40*20%</f>
        <v>2326.3539999999998</v>
      </c>
      <c r="E42" s="561">
        <f t="shared" si="6"/>
        <v>3066.0439999999999</v>
      </c>
      <c r="F42" s="561">
        <f t="shared" si="6"/>
        <v>2563.2579999999998</v>
      </c>
      <c r="G42" s="561">
        <f t="shared" si="6"/>
        <v>1918.7219999999998</v>
      </c>
    </row>
    <row r="43" spans="1:7" ht="21" x14ac:dyDescent="0.35">
      <c r="A43" s="124" t="s">
        <v>282</v>
      </c>
      <c r="B43" s="122" t="s">
        <v>465</v>
      </c>
      <c r="C43" s="134">
        <f>C40+C41</f>
        <v>13160.651999999998</v>
      </c>
      <c r="D43" s="134">
        <f t="shared" ref="D43:G43" si="7">D40+D41</f>
        <v>13958.123999999998</v>
      </c>
      <c r="E43" s="134">
        <f t="shared" si="7"/>
        <v>18396.263999999999</v>
      </c>
      <c r="F43" s="134">
        <f t="shared" si="7"/>
        <v>15379.547999999999</v>
      </c>
      <c r="G43" s="134">
        <f t="shared" si="7"/>
        <v>11512.331999999999</v>
      </c>
    </row>
    <row r="44" spans="1:7" x14ac:dyDescent="0.35">
      <c r="B44" s="135"/>
    </row>
    <row r="45" spans="1:7" x14ac:dyDescent="0.35">
      <c r="A45" s="41" t="s">
        <v>885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9" workbookViewId="0">
      <selection activeCell="D26" sqref="D26"/>
    </sheetView>
  </sheetViews>
  <sheetFormatPr defaultRowHeight="14.5" x14ac:dyDescent="0.35"/>
  <cols>
    <col min="1" max="1" width="7" customWidth="1"/>
    <col min="2" max="2" width="24.453125" customWidth="1"/>
    <col min="3" max="3" width="10.1796875" customWidth="1"/>
    <col min="4" max="4" width="10.26953125" customWidth="1"/>
  </cols>
  <sheetData>
    <row r="1" spans="1:8" x14ac:dyDescent="0.35">
      <c r="A1" s="41"/>
      <c r="B1" s="41"/>
      <c r="C1" s="41"/>
      <c r="D1" s="41"/>
    </row>
    <row r="2" spans="1:8" ht="24" customHeight="1" x14ac:dyDescent="0.35">
      <c r="A2" s="1318" t="s">
        <v>787</v>
      </c>
      <c r="B2" s="1318"/>
      <c r="C2" s="1318"/>
      <c r="D2" s="41" t="s">
        <v>1102</v>
      </c>
    </row>
    <row r="3" spans="1:8" x14ac:dyDescent="0.35">
      <c r="A3" s="1319" t="s">
        <v>187</v>
      </c>
      <c r="B3" s="1320"/>
      <c r="C3" s="1321" t="s">
        <v>466</v>
      </c>
      <c r="D3" s="361" t="s">
        <v>1272</v>
      </c>
      <c r="E3" s="817" t="s">
        <v>1309</v>
      </c>
      <c r="F3" s="817" t="s">
        <v>1310</v>
      </c>
      <c r="G3" s="817" t="s">
        <v>1311</v>
      </c>
      <c r="H3" s="817" t="s">
        <v>1312</v>
      </c>
    </row>
    <row r="4" spans="1:8" ht="15" customHeight="1" x14ac:dyDescent="0.35">
      <c r="A4" s="1319"/>
      <c r="B4" s="1320"/>
      <c r="C4" s="1322"/>
      <c r="D4" s="816" t="s">
        <v>467</v>
      </c>
      <c r="E4" s="816" t="s">
        <v>467</v>
      </c>
      <c r="F4" s="816" t="s">
        <v>467</v>
      </c>
      <c r="G4" s="816" t="s">
        <v>467</v>
      </c>
      <c r="H4" s="816" t="s">
        <v>467</v>
      </c>
    </row>
    <row r="5" spans="1:8" x14ac:dyDescent="0.35">
      <c r="A5" s="136">
        <v>1</v>
      </c>
      <c r="B5" s="136">
        <v>2</v>
      </c>
      <c r="C5" s="137">
        <f>+B5+1</f>
        <v>3</v>
      </c>
      <c r="D5" s="136">
        <v>4</v>
      </c>
      <c r="E5" s="136">
        <v>5</v>
      </c>
      <c r="F5" s="136">
        <v>6</v>
      </c>
      <c r="G5" s="136">
        <v>7</v>
      </c>
      <c r="H5" s="136">
        <v>8</v>
      </c>
    </row>
    <row r="6" spans="1:8" ht="35.25" customHeight="1" x14ac:dyDescent="0.35">
      <c r="A6" s="136" t="s">
        <v>26</v>
      </c>
      <c r="B6" s="362" t="s">
        <v>468</v>
      </c>
      <c r="C6" s="136" t="s">
        <v>469</v>
      </c>
      <c r="D6" s="363">
        <f>'1.15'!C49</f>
        <v>137075.80671999999</v>
      </c>
      <c r="E6" s="363">
        <f>'1.15'!D49</f>
        <v>142424.17959646462</v>
      </c>
      <c r="F6" s="363">
        <f>'1.15'!E49</f>
        <v>152536.31360304245</v>
      </c>
      <c r="G6" s="363">
        <f>'1.15'!F49</f>
        <v>158918.14078319463</v>
      </c>
      <c r="H6" s="363">
        <f>'1.15'!G49</f>
        <v>170210.0213743512</v>
      </c>
    </row>
    <row r="7" spans="1:8" ht="18" customHeight="1" x14ac:dyDescent="0.35">
      <c r="A7" s="136" t="s">
        <v>195</v>
      </c>
      <c r="B7" s="362" t="s">
        <v>147</v>
      </c>
      <c r="C7" s="136" t="s">
        <v>469</v>
      </c>
      <c r="D7" s="364"/>
      <c r="E7" s="38"/>
      <c r="F7" s="38"/>
      <c r="G7" s="38"/>
      <c r="H7" s="38"/>
    </row>
    <row r="8" spans="1:8" x14ac:dyDescent="0.35">
      <c r="A8" s="136" t="s">
        <v>196</v>
      </c>
      <c r="B8" s="362" t="s">
        <v>470</v>
      </c>
      <c r="C8" s="136"/>
      <c r="D8" s="365"/>
      <c r="E8" s="38"/>
      <c r="F8" s="38"/>
      <c r="G8" s="38"/>
      <c r="H8" s="38"/>
    </row>
    <row r="9" spans="1:8" x14ac:dyDescent="0.35">
      <c r="A9" s="136"/>
      <c r="B9" s="362" t="s">
        <v>471</v>
      </c>
      <c r="C9" s="136"/>
      <c r="D9" s="365"/>
      <c r="E9" s="38"/>
      <c r="F9" s="38"/>
      <c r="G9" s="38"/>
      <c r="H9" s="38"/>
    </row>
    <row r="10" spans="1:8" x14ac:dyDescent="0.35">
      <c r="A10" s="136"/>
      <c r="B10" s="362" t="s">
        <v>472</v>
      </c>
      <c r="C10" s="136"/>
      <c r="D10" s="364"/>
      <c r="E10" s="38"/>
      <c r="F10" s="38"/>
      <c r="G10" s="38"/>
      <c r="H10" s="38"/>
    </row>
    <row r="11" spans="1:8" x14ac:dyDescent="0.35">
      <c r="A11" s="136" t="s">
        <v>200</v>
      </c>
      <c r="B11" s="362" t="s">
        <v>150</v>
      </c>
      <c r="C11" s="136"/>
      <c r="D11" s="364"/>
      <c r="E11" s="38"/>
      <c r="F11" s="38"/>
      <c r="G11" s="38"/>
      <c r="H11" s="38"/>
    </row>
    <row r="12" spans="1:8" ht="36.75" customHeight="1" x14ac:dyDescent="0.35">
      <c r="A12" s="136" t="s">
        <v>28</v>
      </c>
      <c r="B12" s="362" t="s">
        <v>473</v>
      </c>
      <c r="C12" s="136" t="s">
        <v>469</v>
      </c>
      <c r="D12" s="901">
        <f>'1.21'!C43</f>
        <v>13160.651999999998</v>
      </c>
      <c r="E12" s="901">
        <f>'1.21'!D43</f>
        <v>13958.123999999998</v>
      </c>
      <c r="F12" s="901">
        <f>'1.21'!E43</f>
        <v>18396.263999999999</v>
      </c>
      <c r="G12" s="901">
        <f>'1.21'!F43</f>
        <v>15379.547999999999</v>
      </c>
      <c r="H12" s="901">
        <f>'1.21'!G43</f>
        <v>11512.331999999999</v>
      </c>
    </row>
    <row r="13" spans="1:8" ht="18.75" customHeight="1" x14ac:dyDescent="0.35">
      <c r="A13" s="136" t="s">
        <v>30</v>
      </c>
      <c r="B13" s="362" t="s">
        <v>474</v>
      </c>
      <c r="C13" s="136" t="s">
        <v>310</v>
      </c>
      <c r="D13" s="366">
        <f>D12/D6</f>
        <v>9.6010027698635453E-2</v>
      </c>
      <c r="E13" s="366">
        <f t="shared" ref="E13:H13" si="0">E12/E6</f>
        <v>9.8003892594277442E-2</v>
      </c>
      <c r="F13" s="366">
        <f t="shared" si="0"/>
        <v>0.12060252123224953</v>
      </c>
      <c r="G13" s="366">
        <f t="shared" si="0"/>
        <v>9.6776541206718955E-2</v>
      </c>
      <c r="H13" s="366">
        <f t="shared" si="0"/>
        <v>6.7636041092318328E-2</v>
      </c>
    </row>
    <row r="14" spans="1:8" ht="38.25" customHeight="1" x14ac:dyDescent="0.35">
      <c r="A14" s="367" t="s">
        <v>30</v>
      </c>
      <c r="B14" s="362" t="s">
        <v>475</v>
      </c>
      <c r="C14" s="136" t="s">
        <v>469</v>
      </c>
      <c r="D14" s="368">
        <f>D6+D12</f>
        <v>150236.45872</v>
      </c>
      <c r="E14" s="368">
        <f t="shared" ref="E14:H14" si="1">E6+E12</f>
        <v>156382.30359646463</v>
      </c>
      <c r="F14" s="368">
        <f t="shared" si="1"/>
        <v>170932.57760304245</v>
      </c>
      <c r="G14" s="368">
        <f t="shared" si="1"/>
        <v>174297.68878319464</v>
      </c>
      <c r="H14" s="368">
        <f t="shared" si="1"/>
        <v>181722.35337435119</v>
      </c>
    </row>
    <row r="15" spans="1:8" x14ac:dyDescent="0.35">
      <c r="A15" s="367" t="s">
        <v>338</v>
      </c>
      <c r="B15" s="362" t="s">
        <v>147</v>
      </c>
      <c r="C15" s="136"/>
      <c r="D15" s="365"/>
      <c r="E15" s="38"/>
      <c r="F15" s="38"/>
      <c r="G15" s="38"/>
      <c r="H15" s="38"/>
    </row>
    <row r="16" spans="1:8" x14ac:dyDescent="0.35">
      <c r="A16" s="367" t="s">
        <v>340</v>
      </c>
      <c r="B16" s="362" t="s">
        <v>470</v>
      </c>
      <c r="C16" s="136"/>
      <c r="D16" s="365"/>
      <c r="E16" s="38"/>
      <c r="F16" s="38"/>
      <c r="G16" s="38"/>
      <c r="H16" s="38"/>
    </row>
    <row r="17" spans="1:8" x14ac:dyDescent="0.35">
      <c r="A17" s="367"/>
      <c r="B17" s="362" t="s">
        <v>471</v>
      </c>
      <c r="C17" s="136"/>
      <c r="D17" s="365"/>
      <c r="E17" s="38"/>
      <c r="F17" s="38"/>
      <c r="G17" s="38"/>
      <c r="H17" s="38"/>
    </row>
    <row r="18" spans="1:8" x14ac:dyDescent="0.35">
      <c r="A18" s="367"/>
      <c r="B18" s="362" t="s">
        <v>472</v>
      </c>
      <c r="C18" s="136"/>
      <c r="D18" s="365"/>
      <c r="E18" s="38"/>
      <c r="F18" s="38"/>
      <c r="G18" s="38"/>
      <c r="H18" s="38"/>
    </row>
    <row r="19" spans="1:8" x14ac:dyDescent="0.35">
      <c r="A19" s="367" t="s">
        <v>341</v>
      </c>
      <c r="B19" s="362" t="s">
        <v>150</v>
      </c>
      <c r="C19" s="136"/>
      <c r="D19" s="365"/>
      <c r="E19" s="38"/>
      <c r="F19" s="38"/>
      <c r="G19" s="38"/>
      <c r="H19" s="38"/>
    </row>
    <row r="20" spans="1:8" ht="45.75" customHeight="1" x14ac:dyDescent="0.35">
      <c r="A20" s="369" t="s">
        <v>206</v>
      </c>
      <c r="B20" s="369" t="s">
        <v>476</v>
      </c>
      <c r="C20" s="370" t="s">
        <v>477</v>
      </c>
      <c r="D20" s="228">
        <v>15.31</v>
      </c>
      <c r="E20" s="228">
        <v>15.31</v>
      </c>
      <c r="F20" s="228">
        <v>15.31</v>
      </c>
      <c r="G20" s="228">
        <v>15.31</v>
      </c>
      <c r="H20" s="228">
        <v>15.31</v>
      </c>
    </row>
    <row r="21" spans="1:8" ht="27" customHeight="1" x14ac:dyDescent="0.35">
      <c r="A21" s="369" t="s">
        <v>208</v>
      </c>
      <c r="B21" s="369" t="s">
        <v>478</v>
      </c>
      <c r="C21" s="371"/>
      <c r="D21" s="372"/>
      <c r="E21" s="38"/>
      <c r="F21" s="38"/>
      <c r="G21" s="38"/>
      <c r="H21" s="38"/>
    </row>
    <row r="22" spans="1:8" ht="22" x14ac:dyDescent="0.35">
      <c r="A22" s="369"/>
      <c r="B22" s="369" t="s">
        <v>479</v>
      </c>
      <c r="C22" s="371"/>
      <c r="D22" s="372"/>
      <c r="E22" s="38"/>
      <c r="F22" s="38"/>
      <c r="G22" s="38"/>
      <c r="H22" s="38"/>
    </row>
    <row r="23" spans="1:8" ht="21" customHeight="1" x14ac:dyDescent="0.35">
      <c r="A23" s="369" t="s">
        <v>213</v>
      </c>
      <c r="B23" s="369" t="s">
        <v>480</v>
      </c>
      <c r="C23" s="371"/>
      <c r="D23" s="372"/>
      <c r="E23" s="38"/>
      <c r="F23" s="38"/>
      <c r="G23" s="38"/>
      <c r="H23" s="38"/>
    </row>
    <row r="24" spans="1:8" ht="22" x14ac:dyDescent="0.35">
      <c r="A24" s="141"/>
      <c r="B24" s="141" t="s">
        <v>481</v>
      </c>
      <c r="C24" s="143"/>
      <c r="D24" s="142"/>
      <c r="E24" s="38"/>
      <c r="F24" s="38"/>
      <c r="G24" s="38"/>
      <c r="H24" s="38"/>
    </row>
    <row r="25" spans="1:8" ht="15.75" customHeight="1" x14ac:dyDescent="0.35">
      <c r="A25" s="141" t="s">
        <v>215</v>
      </c>
      <c r="B25" s="141" t="s">
        <v>482</v>
      </c>
      <c r="C25" s="143"/>
      <c r="D25" s="142"/>
      <c r="E25" s="38"/>
      <c r="F25" s="38"/>
      <c r="G25" s="38"/>
      <c r="H25" s="38"/>
    </row>
    <row r="26" spans="1:8" ht="44.25" customHeight="1" x14ac:dyDescent="0.35">
      <c r="A26" s="141" t="s">
        <v>278</v>
      </c>
      <c r="B26" s="144" t="s">
        <v>483</v>
      </c>
      <c r="C26" s="124" t="s">
        <v>484</v>
      </c>
      <c r="D26" s="574">
        <f>D14*1000/(D20*12)</f>
        <v>817746.89048552141</v>
      </c>
      <c r="E26" s="574">
        <f t="shared" ref="E26:H26" si="2">E14*1000/(E20*12)</f>
        <v>851199.12691304507</v>
      </c>
      <c r="F26" s="574">
        <f t="shared" si="2"/>
        <v>930397.22187591146</v>
      </c>
      <c r="G26" s="574">
        <f t="shared" si="2"/>
        <v>948713.74256038875</v>
      </c>
      <c r="H26" s="574">
        <f t="shared" si="2"/>
        <v>989126.67850180273</v>
      </c>
    </row>
    <row r="28" spans="1:8" x14ac:dyDescent="0.35">
      <c r="A28" t="s">
        <v>1096</v>
      </c>
      <c r="C28" t="s">
        <v>963</v>
      </c>
    </row>
  </sheetData>
  <mergeCells count="4">
    <mergeCell ref="A2:C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28" sqref="A1:H28"/>
    </sheetView>
  </sheetViews>
  <sheetFormatPr defaultRowHeight="14.5" x14ac:dyDescent="0.35"/>
  <cols>
    <col min="1" max="1" width="20.1796875" customWidth="1"/>
    <col min="2" max="2" width="9.54296875" customWidth="1"/>
    <col min="5" max="5" width="11.1796875" customWidth="1"/>
    <col min="6" max="6" width="9.90625" bestFit="1" customWidth="1"/>
    <col min="7" max="7" width="10.453125" customWidth="1"/>
  </cols>
  <sheetData>
    <row r="1" spans="1:7" ht="20" customHeight="1" x14ac:dyDescent="0.35">
      <c r="A1" s="1082" t="s">
        <v>1326</v>
      </c>
      <c r="B1" s="1082"/>
      <c r="C1" s="1082"/>
      <c r="D1" s="1082"/>
      <c r="E1" s="1082"/>
      <c r="F1" s="1082"/>
      <c r="G1" s="1082"/>
    </row>
    <row r="2" spans="1:7" ht="9.5" customHeight="1" x14ac:dyDescent="0.35">
      <c r="A2" s="1082"/>
      <c r="B2" s="1082"/>
      <c r="C2" s="1082"/>
      <c r="D2" s="1082"/>
      <c r="E2" s="1082"/>
      <c r="F2" s="1082"/>
      <c r="G2" s="1082"/>
    </row>
    <row r="3" spans="1:7" x14ac:dyDescent="0.35">
      <c r="A3" s="1083" t="s">
        <v>894</v>
      </c>
      <c r="B3" s="1083"/>
      <c r="C3" s="1083"/>
      <c r="D3" s="1083"/>
      <c r="E3" s="1083"/>
      <c r="F3" s="1083"/>
      <c r="G3" s="1083"/>
    </row>
    <row r="4" spans="1:7" ht="15" thickBot="1" x14ac:dyDescent="0.4">
      <c r="A4" s="387" t="s">
        <v>895</v>
      </c>
      <c r="B4" s="388"/>
      <c r="C4" s="388"/>
      <c r="D4" s="389"/>
      <c r="E4" s="389"/>
    </row>
    <row r="5" spans="1:7" ht="16" customHeight="1" x14ac:dyDescent="0.35">
      <c r="A5" s="1084" t="s">
        <v>896</v>
      </c>
      <c r="B5" s="1086" t="s">
        <v>897</v>
      </c>
      <c r="C5" s="1086" t="s">
        <v>40</v>
      </c>
      <c r="D5" s="1088" t="s">
        <v>898</v>
      </c>
      <c r="E5" s="1090" t="s">
        <v>899</v>
      </c>
      <c r="F5" s="1080" t="s">
        <v>900</v>
      </c>
      <c r="G5" s="1092" t="s">
        <v>901</v>
      </c>
    </row>
    <row r="6" spans="1:7" ht="14.5" customHeight="1" x14ac:dyDescent="0.35">
      <c r="A6" s="1085"/>
      <c r="B6" s="1087"/>
      <c r="C6" s="1087"/>
      <c r="D6" s="1089"/>
      <c r="E6" s="1091"/>
      <c r="F6" s="1081"/>
      <c r="G6" s="1093"/>
    </row>
    <row r="7" spans="1:7" ht="11" customHeight="1" thickBot="1" x14ac:dyDescent="0.4">
      <c r="A7" s="1085"/>
      <c r="B7" s="1087"/>
      <c r="C7" s="1087"/>
      <c r="D7" s="1089"/>
      <c r="E7" s="1091"/>
      <c r="F7" s="1081"/>
      <c r="G7" s="1094"/>
    </row>
    <row r="8" spans="1:7" ht="15" thickBot="1" x14ac:dyDescent="0.4">
      <c r="A8" s="390">
        <v>1</v>
      </c>
      <c r="B8" s="391">
        <v>2</v>
      </c>
      <c r="C8" s="391">
        <v>3</v>
      </c>
      <c r="D8" s="391">
        <v>4</v>
      </c>
      <c r="E8" s="391">
        <v>5</v>
      </c>
      <c r="F8" s="391">
        <v>6</v>
      </c>
      <c r="G8" s="392">
        <v>7</v>
      </c>
    </row>
    <row r="9" spans="1:7" x14ac:dyDescent="0.35">
      <c r="A9" s="385" t="s">
        <v>902</v>
      </c>
      <c r="B9" s="1072" t="s">
        <v>903</v>
      </c>
      <c r="C9" s="1074" t="s">
        <v>69</v>
      </c>
      <c r="D9" s="1076" t="s">
        <v>904</v>
      </c>
      <c r="E9" s="107">
        <v>2</v>
      </c>
      <c r="F9" s="1078" t="s">
        <v>905</v>
      </c>
      <c r="G9" s="393"/>
    </row>
    <row r="10" spans="1:7" ht="20" x14ac:dyDescent="0.35">
      <c r="A10" s="384" t="s">
        <v>906</v>
      </c>
      <c r="B10" s="1072"/>
      <c r="C10" s="1074"/>
      <c r="D10" s="1076"/>
      <c r="E10" s="38">
        <v>3</v>
      </c>
      <c r="F10" s="1078"/>
      <c r="G10" s="394"/>
    </row>
    <row r="11" spans="1:7" ht="20" x14ac:dyDescent="0.35">
      <c r="A11" s="384" t="s">
        <v>907</v>
      </c>
      <c r="B11" s="1072"/>
      <c r="C11" s="1074"/>
      <c r="D11" s="1076"/>
      <c r="E11" s="38">
        <v>0.5</v>
      </c>
      <c r="F11" s="1078"/>
      <c r="G11" s="394"/>
    </row>
    <row r="12" spans="1:7" ht="30" x14ac:dyDescent="0.35">
      <c r="A12" s="384" t="s">
        <v>908</v>
      </c>
      <c r="B12" s="1072"/>
      <c r="C12" s="1074"/>
      <c r="D12" s="1076"/>
      <c r="E12" s="38">
        <v>1</v>
      </c>
      <c r="F12" s="1078"/>
      <c r="G12" s="394"/>
    </row>
    <row r="13" spans="1:7" x14ac:dyDescent="0.35">
      <c r="A13" s="384" t="s">
        <v>1335</v>
      </c>
      <c r="B13" s="1072"/>
      <c r="C13" s="1074"/>
      <c r="D13" s="1076"/>
      <c r="E13" s="38">
        <v>0.5</v>
      </c>
      <c r="F13" s="1078"/>
      <c r="G13" s="394"/>
    </row>
    <row r="14" spans="1:7" ht="20" x14ac:dyDescent="0.35">
      <c r="A14" s="384" t="s">
        <v>909</v>
      </c>
      <c r="B14" s="1072"/>
      <c r="C14" s="1074"/>
      <c r="D14" s="1076"/>
      <c r="E14" s="38">
        <v>3</v>
      </c>
      <c r="F14" s="1078"/>
      <c r="G14" s="394"/>
    </row>
    <row r="15" spans="1:7" ht="30" x14ac:dyDescent="0.35">
      <c r="A15" s="384" t="s">
        <v>910</v>
      </c>
      <c r="B15" s="1072"/>
      <c r="C15" s="1074"/>
      <c r="D15" s="1076"/>
      <c r="E15" s="38">
        <v>1</v>
      </c>
      <c r="F15" s="1078"/>
      <c r="G15" s="394"/>
    </row>
    <row r="16" spans="1:7" x14ac:dyDescent="0.35">
      <c r="A16" s="384" t="s">
        <v>911</v>
      </c>
      <c r="B16" s="1072"/>
      <c r="C16" s="1074"/>
      <c r="D16" s="1076"/>
      <c r="E16" s="38">
        <v>1</v>
      </c>
      <c r="F16" s="1078"/>
      <c r="G16" s="394"/>
    </row>
    <row r="17" spans="1:7" ht="30" x14ac:dyDescent="0.35">
      <c r="A17" s="384" t="s">
        <v>912</v>
      </c>
      <c r="B17" s="1073"/>
      <c r="C17" s="1075"/>
      <c r="D17" s="1077"/>
      <c r="E17" s="38">
        <v>1</v>
      </c>
      <c r="F17" s="1079"/>
      <c r="G17" s="394"/>
    </row>
    <row r="18" spans="1:7" ht="45" customHeight="1" x14ac:dyDescent="0.35">
      <c r="A18" s="726" t="s">
        <v>1331</v>
      </c>
      <c r="B18" s="1060" t="s">
        <v>1330</v>
      </c>
      <c r="C18" s="1061"/>
      <c r="D18" s="1062"/>
      <c r="E18" s="38">
        <v>1</v>
      </c>
      <c r="F18" s="680"/>
      <c r="G18" s="394"/>
    </row>
    <row r="19" spans="1:7" ht="32.5" x14ac:dyDescent="0.35">
      <c r="A19" s="384" t="s">
        <v>1332</v>
      </c>
      <c r="B19" s="727" t="s">
        <v>913</v>
      </c>
      <c r="C19" s="728" t="s">
        <v>51</v>
      </c>
      <c r="D19" s="103">
        <v>4448</v>
      </c>
      <c r="E19" s="395">
        <f>D19*G19</f>
        <v>0.88960000000000006</v>
      </c>
      <c r="F19" s="396" t="s">
        <v>914</v>
      </c>
      <c r="G19" s="394">
        <v>2.0000000000000001E-4</v>
      </c>
    </row>
    <row r="20" spans="1:7" ht="27" x14ac:dyDescent="0.35">
      <c r="A20" s="732" t="s">
        <v>915</v>
      </c>
      <c r="B20" s="729" t="s">
        <v>916</v>
      </c>
      <c r="C20" s="730" t="s">
        <v>853</v>
      </c>
      <c r="D20" s="103">
        <v>28</v>
      </c>
      <c r="E20" s="395">
        <f t="shared" ref="E20" si="0">D20*G20</f>
        <v>2.1</v>
      </c>
      <c r="F20" s="398" t="s">
        <v>917</v>
      </c>
      <c r="G20" s="394">
        <v>7.4999999999999997E-2</v>
      </c>
    </row>
    <row r="21" spans="1:7" ht="32.5" x14ac:dyDescent="0.35">
      <c r="A21" s="384" t="s">
        <v>918</v>
      </c>
      <c r="B21" s="729" t="s">
        <v>919</v>
      </c>
      <c r="C21" s="730" t="s">
        <v>920</v>
      </c>
      <c r="D21" s="103">
        <v>1690.9</v>
      </c>
      <c r="E21" s="395">
        <v>5</v>
      </c>
      <c r="F21" s="399" t="s">
        <v>921</v>
      </c>
      <c r="G21" s="399" t="s">
        <v>922</v>
      </c>
    </row>
    <row r="22" spans="1:7" ht="90" x14ac:dyDescent="0.35">
      <c r="A22" s="732" t="s">
        <v>923</v>
      </c>
      <c r="B22" s="729" t="s">
        <v>924</v>
      </c>
      <c r="C22" s="730" t="s">
        <v>51</v>
      </c>
      <c r="D22" s="103">
        <v>87</v>
      </c>
      <c r="E22" s="395">
        <v>0.5</v>
      </c>
      <c r="F22" s="398" t="s">
        <v>925</v>
      </c>
      <c r="G22" s="394" t="s">
        <v>71</v>
      </c>
    </row>
    <row r="23" spans="1:7" ht="63.5" customHeight="1" x14ac:dyDescent="0.35">
      <c r="A23" s="384" t="s">
        <v>926</v>
      </c>
      <c r="B23" s="397" t="s">
        <v>927</v>
      </c>
      <c r="C23" s="398" t="s">
        <v>51</v>
      </c>
      <c r="D23" s="38">
        <v>117</v>
      </c>
      <c r="E23" s="395">
        <v>0.5</v>
      </c>
      <c r="F23" s="398" t="s">
        <v>928</v>
      </c>
      <c r="G23" s="394" t="s">
        <v>929</v>
      </c>
    </row>
    <row r="24" spans="1:7" ht="12" customHeight="1" x14ac:dyDescent="0.35">
      <c r="A24" s="1065" t="s">
        <v>930</v>
      </c>
      <c r="B24" s="1066" t="s">
        <v>931</v>
      </c>
      <c r="C24" s="1067"/>
      <c r="D24" s="1067"/>
      <c r="E24" s="1067"/>
      <c r="F24" s="400" t="s">
        <v>932</v>
      </c>
      <c r="G24" s="394"/>
    </row>
    <row r="25" spans="1:7" ht="32.5" x14ac:dyDescent="0.35">
      <c r="A25" s="1065"/>
      <c r="B25" s="401" t="s">
        <v>933</v>
      </c>
      <c r="C25" s="402" t="s">
        <v>920</v>
      </c>
      <c r="D25" s="38">
        <v>1690.9</v>
      </c>
      <c r="E25" s="1068">
        <v>5</v>
      </c>
      <c r="F25" s="38"/>
      <c r="G25" s="394"/>
    </row>
    <row r="26" spans="1:7" ht="51.5" customHeight="1" x14ac:dyDescent="0.35">
      <c r="A26" s="1065"/>
      <c r="B26" s="401" t="s">
        <v>1325</v>
      </c>
      <c r="C26" s="402" t="s">
        <v>69</v>
      </c>
      <c r="D26" s="103">
        <v>63</v>
      </c>
      <c r="E26" s="1069"/>
      <c r="F26" s="38"/>
      <c r="G26" s="394"/>
    </row>
    <row r="27" spans="1:7" x14ac:dyDescent="0.35">
      <c r="A27" s="1070" t="s">
        <v>934</v>
      </c>
      <c r="B27" s="1070"/>
      <c r="C27" s="1070"/>
      <c r="D27" s="1070"/>
      <c r="E27" s="395">
        <f>E9+E10+E11+E12+E13+E14+E15+E16+E17+E19+E20+E21+E22+E23+E25+E18</f>
        <v>27.989599999999999</v>
      </c>
      <c r="F27" s="38"/>
      <c r="G27" s="38"/>
    </row>
    <row r="28" spans="1:7" ht="14.5" customHeight="1" x14ac:dyDescent="0.35">
      <c r="A28" s="1071" t="s">
        <v>935</v>
      </c>
      <c r="B28" s="1071"/>
      <c r="C28" s="1071"/>
      <c r="D28" s="1071"/>
      <c r="E28" s="565">
        <f>E27*1.18</f>
        <v>33.027727999999996</v>
      </c>
      <c r="F28" s="564"/>
      <c r="G28" s="564"/>
    </row>
    <row r="30" spans="1:7" x14ac:dyDescent="0.35">
      <c r="A30" s="1063"/>
      <c r="B30" s="1063"/>
      <c r="C30" s="1063"/>
      <c r="D30" s="1063"/>
      <c r="E30" s="1063"/>
      <c r="F30" s="1063"/>
      <c r="G30" s="1063"/>
    </row>
    <row r="31" spans="1:7" x14ac:dyDescent="0.35">
      <c r="A31" s="1064"/>
      <c r="B31" s="1064"/>
      <c r="C31" s="1064"/>
      <c r="D31" s="1064"/>
      <c r="E31" s="1064"/>
      <c r="F31" s="1064"/>
      <c r="G31" s="1064"/>
    </row>
    <row r="32" spans="1:7" x14ac:dyDescent="0.35">
      <c r="A32" s="1064"/>
      <c r="B32" s="1064"/>
      <c r="C32" s="1064"/>
      <c r="D32" s="1064"/>
      <c r="E32" s="1064"/>
      <c r="F32" s="1064"/>
      <c r="G32" s="1064"/>
    </row>
  </sheetData>
  <mergeCells count="21">
    <mergeCell ref="A1:G2"/>
    <mergeCell ref="A3:G3"/>
    <mergeCell ref="A5:A7"/>
    <mergeCell ref="B5:B7"/>
    <mergeCell ref="C5:C7"/>
    <mergeCell ref="D5:D7"/>
    <mergeCell ref="E5:E7"/>
    <mergeCell ref="G5:G7"/>
    <mergeCell ref="B9:B17"/>
    <mergeCell ref="C9:C17"/>
    <mergeCell ref="D9:D17"/>
    <mergeCell ref="F9:F17"/>
    <mergeCell ref="F5:F7"/>
    <mergeCell ref="B18:D18"/>
    <mergeCell ref="A30:G30"/>
    <mergeCell ref="A31:G32"/>
    <mergeCell ref="A24:A26"/>
    <mergeCell ref="B24:E24"/>
    <mergeCell ref="E25:E26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29" sqref="A1:H29"/>
    </sheetView>
  </sheetViews>
  <sheetFormatPr defaultRowHeight="14.5" x14ac:dyDescent="0.35"/>
  <cols>
    <col min="1" max="1" width="5.453125" customWidth="1"/>
    <col min="2" max="2" width="27.1796875" customWidth="1"/>
    <col min="3" max="3" width="9.1796875" customWidth="1"/>
    <col min="4" max="8" width="8" customWidth="1"/>
    <col min="9" max="9" width="10" customWidth="1"/>
  </cols>
  <sheetData>
    <row r="1" spans="1:8" ht="25.5" customHeight="1" x14ac:dyDescent="0.35">
      <c r="A1" s="145"/>
      <c r="B1" s="145"/>
      <c r="C1" s="511" t="s">
        <v>485</v>
      </c>
    </row>
    <row r="2" spans="1:8" ht="39" customHeight="1" x14ac:dyDescent="0.35">
      <c r="A2" s="1323" t="s">
        <v>1084</v>
      </c>
      <c r="B2" s="1323"/>
      <c r="C2" s="1323"/>
    </row>
    <row r="3" spans="1:8" ht="27.5" customHeight="1" x14ac:dyDescent="0.35">
      <c r="A3" s="819" t="s">
        <v>187</v>
      </c>
      <c r="B3" s="819"/>
      <c r="C3" s="818" t="s">
        <v>466</v>
      </c>
      <c r="D3" s="195" t="s">
        <v>1529</v>
      </c>
      <c r="E3" s="194" t="s">
        <v>1530</v>
      </c>
      <c r="F3" s="194" t="s">
        <v>1531</v>
      </c>
      <c r="G3" s="194" t="s">
        <v>1532</v>
      </c>
      <c r="H3" s="194" t="s">
        <v>1533</v>
      </c>
    </row>
    <row r="4" spans="1:8" x14ac:dyDescent="0.35">
      <c r="A4" s="138">
        <v>1</v>
      </c>
      <c r="B4" s="138">
        <v>2</v>
      </c>
      <c r="C4" s="138">
        <v>3</v>
      </c>
      <c r="D4" s="146">
        <v>4</v>
      </c>
      <c r="E4" s="150">
        <v>5</v>
      </c>
      <c r="F4" s="150">
        <v>6</v>
      </c>
      <c r="G4" s="150">
        <v>7</v>
      </c>
      <c r="H4" s="150">
        <v>8</v>
      </c>
    </row>
    <row r="5" spans="1:8" ht="24" customHeight="1" x14ac:dyDescent="0.35">
      <c r="A5" s="140" t="s">
        <v>26</v>
      </c>
      <c r="B5" s="139" t="s">
        <v>486</v>
      </c>
      <c r="C5" s="147" t="s">
        <v>487</v>
      </c>
      <c r="D5" s="902">
        <f>2034.97*1.05</f>
        <v>2136.7184999999999</v>
      </c>
      <c r="E5" s="903">
        <f>D5*1.05</f>
        <v>2243.5544250000003</v>
      </c>
      <c r="F5" s="903">
        <f t="shared" ref="F5:H5" si="0">E5*1.05</f>
        <v>2355.7321462500004</v>
      </c>
      <c r="G5" s="903">
        <f t="shared" si="0"/>
        <v>2473.5187535625005</v>
      </c>
      <c r="H5" s="903">
        <f t="shared" si="0"/>
        <v>2597.1946912406256</v>
      </c>
    </row>
    <row r="6" spans="1:8" ht="33.75" customHeight="1" x14ac:dyDescent="0.35">
      <c r="A6" s="140" t="s">
        <v>488</v>
      </c>
      <c r="B6" s="139" t="s">
        <v>489</v>
      </c>
      <c r="C6" s="138" t="s">
        <v>490</v>
      </c>
      <c r="D6" s="904">
        <v>86.8</v>
      </c>
      <c r="E6" s="904">
        <v>86.8</v>
      </c>
      <c r="F6" s="904">
        <v>86.8</v>
      </c>
      <c r="G6" s="904">
        <v>86.8</v>
      </c>
      <c r="H6" s="904">
        <v>86.8</v>
      </c>
    </row>
    <row r="7" spans="1:8" x14ac:dyDescent="0.35">
      <c r="A7" s="140" t="s">
        <v>293</v>
      </c>
      <c r="B7" s="139" t="s">
        <v>147</v>
      </c>
      <c r="C7" s="138" t="s">
        <v>490</v>
      </c>
      <c r="D7" s="904"/>
      <c r="E7" s="904"/>
      <c r="F7" s="904"/>
      <c r="G7" s="904"/>
      <c r="H7" s="904"/>
    </row>
    <row r="8" spans="1:8" x14ac:dyDescent="0.35">
      <c r="A8" s="140"/>
      <c r="B8" s="139" t="s">
        <v>470</v>
      </c>
      <c r="C8" s="138" t="s">
        <v>490</v>
      </c>
      <c r="D8" s="904"/>
      <c r="E8" s="904"/>
      <c r="F8" s="904"/>
      <c r="G8" s="904"/>
      <c r="H8" s="904"/>
    </row>
    <row r="9" spans="1:8" x14ac:dyDescent="0.35">
      <c r="A9" s="140"/>
      <c r="B9" s="139" t="s">
        <v>491</v>
      </c>
      <c r="C9" s="138" t="s">
        <v>490</v>
      </c>
      <c r="D9" s="904"/>
      <c r="E9" s="904"/>
      <c r="F9" s="904"/>
      <c r="G9" s="904"/>
      <c r="H9" s="904"/>
    </row>
    <row r="10" spans="1:8" x14ac:dyDescent="0.35">
      <c r="A10" s="148" t="s">
        <v>296</v>
      </c>
      <c r="B10" s="149" t="s">
        <v>492</v>
      </c>
      <c r="C10" s="150" t="s">
        <v>490</v>
      </c>
      <c r="D10" s="905"/>
      <c r="E10" s="905"/>
      <c r="F10" s="905"/>
      <c r="G10" s="905"/>
      <c r="H10" s="905"/>
    </row>
    <row r="11" spans="1:8" x14ac:dyDescent="0.35">
      <c r="A11" s="148" t="s">
        <v>298</v>
      </c>
      <c r="B11" s="149" t="s">
        <v>150</v>
      </c>
      <c r="C11" s="150" t="s">
        <v>490</v>
      </c>
      <c r="D11" s="905"/>
      <c r="E11" s="905"/>
      <c r="F11" s="905"/>
      <c r="G11" s="905"/>
      <c r="H11" s="905"/>
    </row>
    <row r="12" spans="1:8" ht="17.25" customHeight="1" x14ac:dyDescent="0.35">
      <c r="A12" s="148" t="s">
        <v>30</v>
      </c>
      <c r="B12" s="149" t="s">
        <v>493</v>
      </c>
      <c r="C12" s="150" t="s">
        <v>310</v>
      </c>
      <c r="D12" s="906">
        <v>13.23</v>
      </c>
      <c r="E12" s="906">
        <v>13.23</v>
      </c>
      <c r="F12" s="906">
        <v>13.23</v>
      </c>
      <c r="G12" s="906">
        <v>13.23</v>
      </c>
      <c r="H12" s="906">
        <v>13.23</v>
      </c>
    </row>
    <row r="13" spans="1:8" x14ac:dyDescent="0.35">
      <c r="A13" s="148" t="s">
        <v>338</v>
      </c>
      <c r="B13" s="149" t="s">
        <v>189</v>
      </c>
      <c r="C13" s="150" t="s">
        <v>490</v>
      </c>
      <c r="D13" s="905">
        <v>11.481999999999999</v>
      </c>
      <c r="E13" s="905">
        <v>11.481999999999999</v>
      </c>
      <c r="F13" s="905">
        <v>11.481999999999999</v>
      </c>
      <c r="G13" s="905">
        <v>11.481999999999999</v>
      </c>
      <c r="H13" s="905">
        <v>11.481999999999999</v>
      </c>
    </row>
    <row r="14" spans="1:8" x14ac:dyDescent="0.35">
      <c r="A14" s="148"/>
      <c r="B14" s="149" t="s">
        <v>147</v>
      </c>
      <c r="C14" s="150" t="s">
        <v>490</v>
      </c>
      <c r="D14" s="905"/>
      <c r="E14" s="905"/>
      <c r="F14" s="905"/>
      <c r="G14" s="905"/>
      <c r="H14" s="905"/>
    </row>
    <row r="15" spans="1:8" x14ac:dyDescent="0.35">
      <c r="A15" s="148"/>
      <c r="B15" s="149" t="s">
        <v>491</v>
      </c>
      <c r="C15" s="150" t="s">
        <v>310</v>
      </c>
      <c r="D15" s="905"/>
      <c r="E15" s="905"/>
      <c r="F15" s="905"/>
      <c r="G15" s="905"/>
      <c r="H15" s="905"/>
    </row>
    <row r="16" spans="1:8" x14ac:dyDescent="0.35">
      <c r="A16" s="148" t="s">
        <v>340</v>
      </c>
      <c r="B16" s="149" t="s">
        <v>492</v>
      </c>
      <c r="C16" s="150" t="s">
        <v>310</v>
      </c>
      <c r="D16" s="905"/>
      <c r="E16" s="905"/>
      <c r="F16" s="905"/>
      <c r="G16" s="905"/>
      <c r="H16" s="905"/>
    </row>
    <row r="17" spans="1:8" x14ac:dyDescent="0.35">
      <c r="A17" s="148" t="s">
        <v>341</v>
      </c>
      <c r="B17" s="149" t="s">
        <v>150</v>
      </c>
      <c r="C17" s="150" t="s">
        <v>310</v>
      </c>
      <c r="D17" s="905"/>
      <c r="E17" s="905"/>
      <c r="F17" s="905"/>
      <c r="G17" s="905"/>
      <c r="H17" s="905"/>
    </row>
    <row r="18" spans="1:8" x14ac:dyDescent="0.35">
      <c r="A18" s="148" t="s">
        <v>206</v>
      </c>
      <c r="B18" s="149" t="s">
        <v>494</v>
      </c>
      <c r="C18" s="150" t="s">
        <v>490</v>
      </c>
      <c r="D18" s="906">
        <f>D6-D13</f>
        <v>75.317999999999998</v>
      </c>
      <c r="E18" s="906">
        <f t="shared" ref="E18:H18" si="1">E6-E13</f>
        <v>75.317999999999998</v>
      </c>
      <c r="F18" s="906">
        <f t="shared" si="1"/>
        <v>75.317999999999998</v>
      </c>
      <c r="G18" s="906">
        <f t="shared" si="1"/>
        <v>75.317999999999998</v>
      </c>
      <c r="H18" s="906">
        <f t="shared" si="1"/>
        <v>75.317999999999998</v>
      </c>
    </row>
    <row r="19" spans="1:8" x14ac:dyDescent="0.35">
      <c r="A19" s="148" t="s">
        <v>208</v>
      </c>
      <c r="B19" s="149" t="s">
        <v>147</v>
      </c>
      <c r="C19" s="150" t="s">
        <v>490</v>
      </c>
      <c r="D19" s="905"/>
      <c r="E19" s="905"/>
      <c r="F19" s="905"/>
      <c r="G19" s="905"/>
      <c r="H19" s="905"/>
    </row>
    <row r="20" spans="1:8" x14ac:dyDescent="0.35">
      <c r="A20" s="148"/>
      <c r="B20" s="149" t="s">
        <v>470</v>
      </c>
      <c r="C20" s="150" t="s">
        <v>490</v>
      </c>
      <c r="D20" s="905"/>
      <c r="E20" s="905"/>
      <c r="F20" s="905"/>
      <c r="G20" s="905"/>
      <c r="H20" s="905"/>
    </row>
    <row r="21" spans="1:8" x14ac:dyDescent="0.35">
      <c r="A21" s="148"/>
      <c r="B21" s="149" t="s">
        <v>491</v>
      </c>
      <c r="C21" s="150" t="s">
        <v>490</v>
      </c>
      <c r="D21" s="905"/>
      <c r="E21" s="905"/>
      <c r="F21" s="905"/>
      <c r="G21" s="905"/>
      <c r="H21" s="905"/>
    </row>
    <row r="22" spans="1:8" x14ac:dyDescent="0.35">
      <c r="A22" s="148" t="s">
        <v>213</v>
      </c>
      <c r="B22" s="149" t="s">
        <v>492</v>
      </c>
      <c r="C22" s="150" t="s">
        <v>490</v>
      </c>
      <c r="D22" s="905"/>
      <c r="E22" s="905"/>
      <c r="F22" s="905"/>
      <c r="G22" s="905"/>
      <c r="H22" s="905"/>
    </row>
    <row r="23" spans="1:8" x14ac:dyDescent="0.35">
      <c r="A23" s="148" t="s">
        <v>215</v>
      </c>
      <c r="B23" s="149" t="s">
        <v>150</v>
      </c>
      <c r="C23" s="150" t="s">
        <v>490</v>
      </c>
      <c r="D23" s="905"/>
      <c r="E23" s="564"/>
      <c r="F23" s="564"/>
      <c r="G23" s="564"/>
      <c r="H23" s="564"/>
    </row>
    <row r="24" spans="1:8" x14ac:dyDescent="0.35">
      <c r="A24" s="140" t="s">
        <v>278</v>
      </c>
      <c r="B24" s="139" t="s">
        <v>495</v>
      </c>
      <c r="C24" s="138" t="s">
        <v>339</v>
      </c>
      <c r="D24" s="907">
        <f>D5*D13</f>
        <v>24533.801817</v>
      </c>
      <c r="E24" s="907">
        <f t="shared" ref="E24:H24" si="2">E5*E13</f>
        <v>25760.491907850002</v>
      </c>
      <c r="F24" s="907">
        <f t="shared" si="2"/>
        <v>27048.516503242503</v>
      </c>
      <c r="G24" s="907">
        <f t="shared" si="2"/>
        <v>28400.942328404628</v>
      </c>
      <c r="H24" s="907">
        <f t="shared" si="2"/>
        <v>29820.989444824863</v>
      </c>
    </row>
    <row r="25" spans="1:8" ht="32.5" x14ac:dyDescent="0.35">
      <c r="A25" s="140" t="s">
        <v>206</v>
      </c>
      <c r="B25" s="139" t="s">
        <v>496</v>
      </c>
      <c r="C25" s="138" t="s">
        <v>487</v>
      </c>
      <c r="D25" s="908">
        <f t="shared" ref="D25:H25" si="3">D24/D18</f>
        <v>325.73623591970045</v>
      </c>
      <c r="E25" s="908">
        <f t="shared" si="3"/>
        <v>342.02304771568555</v>
      </c>
      <c r="F25" s="908">
        <f t="shared" si="3"/>
        <v>359.1242001014698</v>
      </c>
      <c r="G25" s="908">
        <f t="shared" si="3"/>
        <v>377.0804101065433</v>
      </c>
      <c r="H25" s="908">
        <f t="shared" si="3"/>
        <v>395.93443061187054</v>
      </c>
    </row>
    <row r="26" spans="1:8" x14ac:dyDescent="0.35">
      <c r="A26" s="81"/>
      <c r="B26" s="81"/>
      <c r="C26" s="81"/>
    </row>
    <row r="27" spans="1:8" x14ac:dyDescent="0.35">
      <c r="A27" t="s">
        <v>10</v>
      </c>
      <c r="B27" s="151"/>
      <c r="C27" s="557" t="s">
        <v>963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7" workbookViewId="0">
      <selection activeCell="D3" sqref="D3:G3"/>
    </sheetView>
  </sheetViews>
  <sheetFormatPr defaultRowHeight="14.5" x14ac:dyDescent="0.35"/>
  <cols>
    <col min="1" max="1" width="37.26953125" style="850" customWidth="1"/>
    <col min="2" max="2" width="18" style="850" customWidth="1"/>
    <col min="3" max="3" width="13.453125" style="850" customWidth="1"/>
    <col min="4" max="4" width="10.453125" style="850" customWidth="1"/>
    <col min="5" max="5" width="8.90625" style="850" bestFit="1" customWidth="1"/>
    <col min="6" max="6" width="9.453125" style="850" bestFit="1" customWidth="1"/>
    <col min="7" max="7" width="10.36328125" style="850" bestFit="1" customWidth="1"/>
    <col min="8" max="16384" width="8.7265625" style="850"/>
  </cols>
  <sheetData>
    <row r="1" spans="1:7" ht="18.5" x14ac:dyDescent="0.45">
      <c r="A1" s="1324" t="s">
        <v>1109</v>
      </c>
      <c r="B1" s="1325"/>
      <c r="C1" s="452"/>
      <c r="D1" s="452"/>
    </row>
    <row r="2" spans="1:7" ht="45" customHeight="1" x14ac:dyDescent="0.35">
      <c r="A2" s="851"/>
      <c r="B2" s="853" t="s">
        <v>1475</v>
      </c>
      <c r="C2" s="193" t="s">
        <v>1303</v>
      </c>
      <c r="D2" s="193" t="s">
        <v>1304</v>
      </c>
      <c r="E2" s="193" t="s">
        <v>1305</v>
      </c>
      <c r="F2" s="193" t="s">
        <v>1306</v>
      </c>
      <c r="G2" s="193" t="s">
        <v>1307</v>
      </c>
    </row>
    <row r="3" spans="1:7" x14ac:dyDescent="0.35">
      <c r="A3" s="854" t="s">
        <v>189</v>
      </c>
      <c r="B3" s="859">
        <f>B4+B5+B6+B7+B8+B11</f>
        <v>5988.72</v>
      </c>
      <c r="C3" s="859">
        <f>C4+C5+C9+C10+C6+C7+C8+C11</f>
        <v>9999.5099999999984</v>
      </c>
      <c r="D3" s="861">
        <f t="shared" ref="D3:G3" si="0">D4+D5+D9+D10+D6+D7+D8+D11</f>
        <v>9833.3854999999985</v>
      </c>
      <c r="E3" s="861">
        <f t="shared" si="0"/>
        <v>11024.554775000002</v>
      </c>
      <c r="F3" s="861">
        <f t="shared" si="0"/>
        <v>10842.132513750001</v>
      </c>
      <c r="G3" s="861">
        <f t="shared" si="0"/>
        <v>12154.289139437502</v>
      </c>
    </row>
    <row r="4" spans="1:7" x14ac:dyDescent="0.35">
      <c r="A4" s="855" t="s">
        <v>497</v>
      </c>
      <c r="B4" s="860">
        <v>1846.34</v>
      </c>
      <c r="C4" s="860">
        <v>3476.6</v>
      </c>
      <c r="D4" s="857">
        <f>C4*1.05</f>
        <v>3650.43</v>
      </c>
      <c r="E4" s="858">
        <f t="shared" ref="E4:G4" si="1">D4*1.05</f>
        <v>3832.9515000000001</v>
      </c>
      <c r="F4" s="858">
        <f t="shared" si="1"/>
        <v>4024.5990750000001</v>
      </c>
      <c r="G4" s="858">
        <f t="shared" si="1"/>
        <v>4225.8290287500004</v>
      </c>
    </row>
    <row r="5" spans="1:7" ht="28.5" customHeight="1" x14ac:dyDescent="0.35">
      <c r="A5" s="855" t="s">
        <v>498</v>
      </c>
      <c r="B5" s="860">
        <v>295.63</v>
      </c>
      <c r="C5" s="860">
        <v>490.49</v>
      </c>
      <c r="D5" s="858">
        <f t="shared" ref="D5:G5" si="2">C5*1.05</f>
        <v>515.0145</v>
      </c>
      <c r="E5" s="858">
        <f t="shared" si="2"/>
        <v>540.76522499999999</v>
      </c>
      <c r="F5" s="858">
        <f t="shared" si="2"/>
        <v>567.80348624999999</v>
      </c>
      <c r="G5" s="858">
        <f t="shared" si="2"/>
        <v>596.19366056249999</v>
      </c>
    </row>
    <row r="6" spans="1:7" ht="28.5" customHeight="1" x14ac:dyDescent="0.35">
      <c r="A6" s="855" t="s">
        <v>973</v>
      </c>
      <c r="B6" s="860">
        <v>1590.86</v>
      </c>
      <c r="C6" s="860">
        <f>1972+71</f>
        <v>2043</v>
      </c>
      <c r="D6" s="858">
        <f t="shared" ref="D6:G6" si="3">C6*1.05</f>
        <v>2145.15</v>
      </c>
      <c r="E6" s="858">
        <f t="shared" si="3"/>
        <v>2252.4075000000003</v>
      </c>
      <c r="F6" s="858">
        <f t="shared" si="3"/>
        <v>2365.0278750000002</v>
      </c>
      <c r="G6" s="858">
        <f t="shared" si="3"/>
        <v>2483.2792687500005</v>
      </c>
    </row>
    <row r="7" spans="1:7" x14ac:dyDescent="0.35">
      <c r="A7" s="855" t="s">
        <v>499</v>
      </c>
      <c r="B7" s="860">
        <v>792.24</v>
      </c>
      <c r="C7" s="860">
        <v>800</v>
      </c>
      <c r="D7" s="858">
        <f t="shared" ref="D7:G7" si="4">C7*1.05</f>
        <v>840</v>
      </c>
      <c r="E7" s="858">
        <f t="shared" si="4"/>
        <v>882</v>
      </c>
      <c r="F7" s="858">
        <f t="shared" si="4"/>
        <v>926.1</v>
      </c>
      <c r="G7" s="858">
        <f t="shared" si="4"/>
        <v>972.40500000000009</v>
      </c>
    </row>
    <row r="8" spans="1:7" ht="26" x14ac:dyDescent="0.35">
      <c r="A8" s="856" t="s">
        <v>500</v>
      </c>
      <c r="B8" s="860">
        <f>4142.38-B11-B7-B6-B5</f>
        <v>1240.1600000000008</v>
      </c>
      <c r="C8" s="860">
        <v>1371</v>
      </c>
      <c r="D8" s="858">
        <f t="shared" ref="D8:G10" si="5">C8*1.05</f>
        <v>1439.55</v>
      </c>
      <c r="E8" s="858">
        <f t="shared" si="5"/>
        <v>1511.5274999999999</v>
      </c>
      <c r="F8" s="858">
        <f t="shared" si="5"/>
        <v>1587.103875</v>
      </c>
      <c r="G8" s="858">
        <f t="shared" si="5"/>
        <v>1666.4590687500001</v>
      </c>
    </row>
    <row r="9" spans="1:7" x14ac:dyDescent="0.35">
      <c r="A9" s="856" t="s">
        <v>1522</v>
      </c>
      <c r="B9" s="860"/>
      <c r="C9" s="860">
        <v>113.4</v>
      </c>
      <c r="D9" s="858">
        <f t="shared" si="5"/>
        <v>119.07000000000001</v>
      </c>
      <c r="E9" s="858">
        <f t="shared" si="5"/>
        <v>125.02350000000001</v>
      </c>
      <c r="F9" s="858">
        <f t="shared" si="5"/>
        <v>131.27467500000003</v>
      </c>
      <c r="G9" s="858">
        <f t="shared" si="5"/>
        <v>137.83840875000004</v>
      </c>
    </row>
    <row r="10" spans="1:7" ht="26" x14ac:dyDescent="0.35">
      <c r="A10" s="856" t="s">
        <v>1523</v>
      </c>
      <c r="B10" s="860"/>
      <c r="C10" s="860">
        <v>562.9</v>
      </c>
      <c r="D10" s="858">
        <f t="shared" si="5"/>
        <v>591.04499999999996</v>
      </c>
      <c r="E10" s="858">
        <f t="shared" si="5"/>
        <v>620.59725000000003</v>
      </c>
      <c r="F10" s="858">
        <f t="shared" si="5"/>
        <v>651.62711250000007</v>
      </c>
      <c r="G10" s="858">
        <f t="shared" si="5"/>
        <v>684.20846812500008</v>
      </c>
    </row>
    <row r="11" spans="1:7" ht="21.75" customHeight="1" x14ac:dyDescent="0.35">
      <c r="A11" s="855" t="s">
        <v>972</v>
      </c>
      <c r="B11" s="860">
        <f>B12+B13</f>
        <v>223.49</v>
      </c>
      <c r="C11" s="860">
        <f>C12+C13</f>
        <v>1142.1199999999999</v>
      </c>
      <c r="D11" s="860">
        <f t="shared" ref="D11:G11" si="6">D12+D13</f>
        <v>533.12599999999998</v>
      </c>
      <c r="E11" s="860">
        <f t="shared" si="6"/>
        <v>1259.2823000000001</v>
      </c>
      <c r="F11" s="860">
        <f t="shared" si="6"/>
        <v>588.59641499999998</v>
      </c>
      <c r="G11" s="860">
        <f t="shared" si="6"/>
        <v>1388.07623575</v>
      </c>
    </row>
    <row r="12" spans="1:7" ht="21.75" customHeight="1" x14ac:dyDescent="0.35">
      <c r="A12" s="855" t="s">
        <v>971</v>
      </c>
      <c r="B12" s="860">
        <v>223.49</v>
      </c>
      <c r="C12" s="860">
        <v>1082</v>
      </c>
      <c r="D12" s="858">
        <v>470</v>
      </c>
      <c r="E12" s="858">
        <v>1193</v>
      </c>
      <c r="F12" s="858">
        <v>519</v>
      </c>
      <c r="G12" s="858">
        <v>1315</v>
      </c>
    </row>
    <row r="13" spans="1:7" x14ac:dyDescent="0.35">
      <c r="A13" s="498" t="s">
        <v>1013</v>
      </c>
      <c r="B13" s="860"/>
      <c r="C13" s="860">
        <v>60.12</v>
      </c>
      <c r="D13" s="858">
        <f t="shared" ref="D13:G13" si="7">C13*1.05</f>
        <v>63.125999999999998</v>
      </c>
      <c r="E13" s="858">
        <f t="shared" si="7"/>
        <v>66.282300000000006</v>
      </c>
      <c r="F13" s="858">
        <f t="shared" si="7"/>
        <v>69.596415000000007</v>
      </c>
      <c r="G13" s="858">
        <f t="shared" si="7"/>
        <v>73.076235750000009</v>
      </c>
    </row>
    <row r="14" spans="1:7" x14ac:dyDescent="0.35">
      <c r="A14" s="498" t="s">
        <v>1476</v>
      </c>
      <c r="B14" s="860">
        <f>B3-B4</f>
        <v>4142.38</v>
      </c>
      <c r="C14" s="887">
        <f t="shared" ref="C14:G14" si="8">C3-C4</f>
        <v>6522.909999999998</v>
      </c>
      <c r="D14" s="887">
        <f t="shared" si="8"/>
        <v>6182.9554999999982</v>
      </c>
      <c r="E14" s="887">
        <f t="shared" si="8"/>
        <v>7191.6032750000022</v>
      </c>
      <c r="F14" s="887">
        <f t="shared" si="8"/>
        <v>6817.5334387500006</v>
      </c>
      <c r="G14" s="887">
        <f t="shared" si="8"/>
        <v>7928.4601106875016</v>
      </c>
    </row>
    <row r="15" spans="1:7" x14ac:dyDescent="0.35">
      <c r="A15" s="884"/>
      <c r="B15" s="885"/>
      <c r="C15" s="885"/>
      <c r="D15" s="886"/>
      <c r="E15" s="886"/>
      <c r="F15" s="886"/>
      <c r="G15" s="886"/>
    </row>
    <row r="16" spans="1:7" x14ac:dyDescent="0.35">
      <c r="A16" s="884"/>
      <c r="B16" s="885"/>
      <c r="C16" s="885"/>
      <c r="D16" s="886"/>
      <c r="E16" s="886"/>
      <c r="F16" s="886"/>
      <c r="G16" s="886"/>
    </row>
    <row r="17" spans="1:3" x14ac:dyDescent="0.35">
      <c r="A17" s="852"/>
      <c r="B17" s="852"/>
      <c r="C17" s="852"/>
    </row>
    <row r="18" spans="1:3" x14ac:dyDescent="0.35">
      <c r="A18" s="850" t="s">
        <v>10</v>
      </c>
      <c r="B18" s="850" t="s">
        <v>963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0"/>
  <sheetViews>
    <sheetView topLeftCell="A184" workbookViewId="0">
      <selection activeCell="A30" sqref="A30:XFD35"/>
    </sheetView>
  </sheetViews>
  <sheetFormatPr defaultRowHeight="14.5" x14ac:dyDescent="0.35"/>
  <cols>
    <col min="1" max="1" width="11.7265625" customWidth="1"/>
    <col min="2" max="2" width="22.26953125" customWidth="1"/>
    <col min="3" max="3" width="11.26953125" customWidth="1"/>
    <col min="6" max="6" width="11.453125" customWidth="1"/>
    <col min="10" max="10" width="9.26953125" bestFit="1" customWidth="1"/>
  </cols>
  <sheetData>
    <row r="2" spans="1:7" ht="30.75" customHeight="1" x14ac:dyDescent="0.35">
      <c r="A2" s="1349" t="s">
        <v>1327</v>
      </c>
      <c r="B2" s="1349"/>
      <c r="C2" s="1349"/>
      <c r="D2" s="1349"/>
      <c r="E2" s="1349"/>
      <c r="F2" s="1349"/>
      <c r="G2" s="153"/>
    </row>
    <row r="3" spans="1:7" x14ac:dyDescent="0.35">
      <c r="A3" s="694"/>
      <c r="B3" s="694"/>
      <c r="C3" s="694"/>
      <c r="D3" s="694"/>
      <c r="E3" s="694"/>
      <c r="F3" s="694"/>
      <c r="G3" s="154"/>
    </row>
    <row r="4" spans="1:7" x14ac:dyDescent="0.35">
      <c r="A4" s="1351" t="s">
        <v>1328</v>
      </c>
      <c r="B4" s="1351"/>
      <c r="C4" s="1351"/>
      <c r="D4" s="1351"/>
      <c r="E4" s="1351"/>
      <c r="F4" s="1351"/>
      <c r="G4" s="155"/>
    </row>
    <row r="5" spans="1:7" ht="27.75" customHeight="1" x14ac:dyDescent="0.35">
      <c r="A5" s="1351"/>
      <c r="B5" s="1351"/>
      <c r="C5" s="1351"/>
      <c r="D5" s="1351"/>
      <c r="E5" s="1351"/>
      <c r="F5" s="1351"/>
      <c r="G5" s="156"/>
    </row>
    <row r="6" spans="1:7" x14ac:dyDescent="0.35">
      <c r="A6" s="1352" t="s">
        <v>501</v>
      </c>
      <c r="B6" s="1352"/>
      <c r="C6" s="1352"/>
      <c r="D6" s="1352"/>
      <c r="E6" s="1352"/>
      <c r="F6" s="1352"/>
      <c r="G6" s="156"/>
    </row>
    <row r="7" spans="1:7" x14ac:dyDescent="0.35">
      <c r="A7" s="154"/>
      <c r="B7" s="154"/>
      <c r="C7" s="154"/>
      <c r="D7" s="154"/>
      <c r="E7" s="154"/>
      <c r="F7" s="154"/>
      <c r="G7" s="154"/>
    </row>
    <row r="8" spans="1:7" ht="103.5" customHeight="1" x14ac:dyDescent="0.35">
      <c r="A8" s="157" t="s">
        <v>502</v>
      </c>
      <c r="B8" s="157" t="s">
        <v>503</v>
      </c>
      <c r="C8" s="157" t="s">
        <v>504</v>
      </c>
      <c r="D8" s="157" t="s">
        <v>505</v>
      </c>
      <c r="E8" s="157" t="s">
        <v>506</v>
      </c>
      <c r="F8" s="157" t="s">
        <v>507</v>
      </c>
      <c r="G8" s="158"/>
    </row>
    <row r="9" spans="1:7" x14ac:dyDescent="0.35">
      <c r="A9" s="739">
        <v>1</v>
      </c>
      <c r="B9" s="739">
        <v>2</v>
      </c>
      <c r="C9" s="739">
        <v>3</v>
      </c>
      <c r="D9" s="739">
        <v>4</v>
      </c>
      <c r="E9" s="739">
        <v>5</v>
      </c>
      <c r="F9" s="739">
        <v>6</v>
      </c>
      <c r="G9" s="158"/>
    </row>
    <row r="10" spans="1:7" x14ac:dyDescent="0.35">
      <c r="A10" s="159">
        <v>58640</v>
      </c>
      <c r="B10" s="159">
        <v>10</v>
      </c>
      <c r="C10" s="159">
        <f>A10/B10*3</f>
        <v>17592</v>
      </c>
      <c r="D10" s="159" t="s">
        <v>508</v>
      </c>
      <c r="E10" s="159">
        <v>28</v>
      </c>
      <c r="F10" s="159">
        <f>C10/1000*E10</f>
        <v>492.57599999999996</v>
      </c>
      <c r="G10" s="158"/>
    </row>
    <row r="11" spans="1:7" x14ac:dyDescent="0.35">
      <c r="A11" s="159">
        <v>21560</v>
      </c>
      <c r="B11" s="159">
        <v>10</v>
      </c>
      <c r="C11" s="159">
        <f>A11/B11*3</f>
        <v>6468</v>
      </c>
      <c r="D11" s="159">
        <v>50</v>
      </c>
      <c r="E11" s="159">
        <v>38</v>
      </c>
      <c r="F11" s="159">
        <f>C11/1000*E11</f>
        <v>245.78399999999999</v>
      </c>
      <c r="G11" s="158"/>
    </row>
    <row r="12" spans="1:7" x14ac:dyDescent="0.35">
      <c r="A12" s="159">
        <v>18500</v>
      </c>
      <c r="B12" s="159">
        <v>10</v>
      </c>
      <c r="C12" s="159">
        <f>A12/B12*3</f>
        <v>5550</v>
      </c>
      <c r="D12" s="159">
        <v>70</v>
      </c>
      <c r="E12" s="159">
        <v>48</v>
      </c>
      <c r="F12" s="159">
        <f>C12/1000*E12</f>
        <v>266.39999999999998</v>
      </c>
      <c r="G12" s="158"/>
    </row>
    <row r="13" spans="1:7" x14ac:dyDescent="0.35">
      <c r="A13" s="159"/>
      <c r="B13" s="159">
        <v>10</v>
      </c>
      <c r="C13" s="159">
        <f>A13/B13*3</f>
        <v>0</v>
      </c>
      <c r="D13" s="159" t="s">
        <v>509</v>
      </c>
      <c r="E13" s="159">
        <v>57</v>
      </c>
      <c r="F13" s="159">
        <f>C13/1000*E13</f>
        <v>0</v>
      </c>
      <c r="G13" s="158"/>
    </row>
    <row r="14" spans="1:7" x14ac:dyDescent="0.35">
      <c r="A14" s="159" t="s">
        <v>510</v>
      </c>
      <c r="B14" s="159"/>
      <c r="C14" s="159"/>
      <c r="D14" s="159"/>
      <c r="E14" s="159"/>
      <c r="F14" s="159">
        <f>F10+F11+F12+F13</f>
        <v>1004.7599999999999</v>
      </c>
      <c r="G14" s="158"/>
    </row>
    <row r="15" spans="1:7" x14ac:dyDescent="0.35">
      <c r="A15" s="1345" t="s">
        <v>511</v>
      </c>
      <c r="B15" s="1345"/>
      <c r="C15" s="1345"/>
      <c r="D15" s="1345"/>
      <c r="E15" s="1345"/>
      <c r="F15" s="1345"/>
      <c r="G15" s="1345"/>
    </row>
    <row r="16" spans="1:7" x14ac:dyDescent="0.35">
      <c r="A16" s="158"/>
      <c r="B16" s="158"/>
      <c r="C16" s="158"/>
      <c r="D16" s="158"/>
      <c r="E16" s="158"/>
      <c r="F16" s="158"/>
      <c r="G16" s="158"/>
    </row>
    <row r="17" spans="1:10" x14ac:dyDescent="0.35">
      <c r="A17" s="1345" t="s">
        <v>512</v>
      </c>
      <c r="B17" s="1345"/>
      <c r="C17" s="1345"/>
      <c r="D17" s="1345"/>
      <c r="E17" s="1345"/>
      <c r="F17" s="1345"/>
      <c r="G17" s="158"/>
    </row>
    <row r="18" spans="1:10" x14ac:dyDescent="0.35">
      <c r="A18" s="158"/>
      <c r="B18" s="158"/>
      <c r="C18" s="158"/>
      <c r="D18" s="158"/>
      <c r="E18" s="158"/>
      <c r="F18" s="158"/>
      <c r="G18" s="158"/>
    </row>
    <row r="19" spans="1:10" ht="50" x14ac:dyDescent="0.35">
      <c r="A19" s="1342" t="s">
        <v>513</v>
      </c>
      <c r="B19" s="1342"/>
      <c r="C19" s="159" t="s">
        <v>514</v>
      </c>
      <c r="D19" s="159" t="s">
        <v>515</v>
      </c>
      <c r="E19" s="159" t="s">
        <v>516</v>
      </c>
      <c r="F19" s="159" t="s">
        <v>517</v>
      </c>
      <c r="G19" s="159" t="s">
        <v>518</v>
      </c>
    </row>
    <row r="20" spans="1:10" x14ac:dyDescent="0.35">
      <c r="A20" s="1331">
        <v>1</v>
      </c>
      <c r="B20" s="1332"/>
      <c r="C20" s="739">
        <v>2</v>
      </c>
      <c r="D20" s="739">
        <v>3</v>
      </c>
      <c r="E20" s="739">
        <v>4</v>
      </c>
      <c r="F20" s="739">
        <v>5</v>
      </c>
      <c r="G20" s="739">
        <v>6</v>
      </c>
    </row>
    <row r="21" spans="1:10" x14ac:dyDescent="0.35">
      <c r="A21" s="1333" t="s">
        <v>519</v>
      </c>
      <c r="B21" s="1333"/>
      <c r="C21" s="159">
        <v>80</v>
      </c>
      <c r="D21" s="159">
        <f>F14</f>
        <v>1004.7599999999999</v>
      </c>
      <c r="E21" s="159">
        <f>D21/100*C21</f>
        <v>803.80799999999999</v>
      </c>
      <c r="F21" s="164">
        <v>169.89524999999998</v>
      </c>
      <c r="G21" s="739">
        <f>E21*F21</f>
        <v>136563.16111199997</v>
      </c>
      <c r="J21" s="738"/>
    </row>
    <row r="22" spans="1:10" x14ac:dyDescent="0.35">
      <c r="A22" s="1333" t="s">
        <v>520</v>
      </c>
      <c r="B22" s="1333"/>
      <c r="C22" s="159">
        <v>20</v>
      </c>
      <c r="D22" s="159">
        <f>F14</f>
        <v>1004.7599999999999</v>
      </c>
      <c r="E22" s="159">
        <f>D22/100*C22</f>
        <v>200.952</v>
      </c>
      <c r="F22" s="164">
        <v>150.09225000000001</v>
      </c>
      <c r="G22" s="739">
        <f t="shared" ref="G22:G27" si="0">E22*F22</f>
        <v>30161.337822000001</v>
      </c>
      <c r="J22" s="738"/>
    </row>
    <row r="23" spans="1:10" x14ac:dyDescent="0.35">
      <c r="A23" s="1333" t="s">
        <v>521</v>
      </c>
      <c r="B23" s="1333"/>
      <c r="C23" s="159">
        <v>20</v>
      </c>
      <c r="D23" s="159">
        <f>F14</f>
        <v>1004.7599999999999</v>
      </c>
      <c r="E23" s="159">
        <f>D23/100*C23</f>
        <v>200.952</v>
      </c>
      <c r="F23" s="164">
        <v>395.46832499999999</v>
      </c>
      <c r="G23" s="739">
        <f t="shared" si="0"/>
        <v>79470.1508454</v>
      </c>
      <c r="J23" s="738"/>
    </row>
    <row r="24" spans="1:10" x14ac:dyDescent="0.35">
      <c r="A24" s="1343" t="s">
        <v>522</v>
      </c>
      <c r="B24" s="1344"/>
      <c r="C24" s="159">
        <v>40</v>
      </c>
      <c r="D24" s="159">
        <f>F14</f>
        <v>1004.7599999999999</v>
      </c>
      <c r="E24" s="159">
        <f>E22</f>
        <v>200.952</v>
      </c>
      <c r="F24" s="164">
        <v>123.16500000000001</v>
      </c>
      <c r="G24" s="739">
        <f t="shared" si="0"/>
        <v>24750.253080000002</v>
      </c>
      <c r="J24" s="738"/>
    </row>
    <row r="25" spans="1:10" x14ac:dyDescent="0.35">
      <c r="A25" s="1333" t="s">
        <v>523</v>
      </c>
      <c r="B25" s="1333"/>
      <c r="C25" s="159">
        <v>15</v>
      </c>
      <c r="D25" s="159">
        <f>F14</f>
        <v>1004.7599999999999</v>
      </c>
      <c r="E25" s="159">
        <f>D25/100*C25</f>
        <v>150.714</v>
      </c>
      <c r="F25" s="164">
        <v>130.41</v>
      </c>
      <c r="G25" s="739">
        <f t="shared" si="0"/>
        <v>19654.61274</v>
      </c>
      <c r="J25" s="738"/>
    </row>
    <row r="26" spans="1:10" x14ac:dyDescent="0.35">
      <c r="A26" s="1333" t="s">
        <v>524</v>
      </c>
      <c r="B26" s="1333"/>
      <c r="C26" s="159">
        <v>0.3</v>
      </c>
      <c r="D26" s="159">
        <f>F14</f>
        <v>1004.7599999999999</v>
      </c>
      <c r="E26" s="159">
        <f>D26/100*C26</f>
        <v>3.0142799999999998</v>
      </c>
      <c r="F26" s="164">
        <v>58.925999999999995</v>
      </c>
      <c r="G26" s="739">
        <f t="shared" si="0"/>
        <v>177.61946327999996</v>
      </c>
      <c r="J26" s="738"/>
    </row>
    <row r="27" spans="1:10" ht="26.25" customHeight="1" x14ac:dyDescent="0.35">
      <c r="A27" s="1333" t="s">
        <v>525</v>
      </c>
      <c r="B27" s="1333"/>
      <c r="C27" s="1326" t="s">
        <v>526</v>
      </c>
      <c r="D27" s="1328"/>
      <c r="E27" s="159">
        <f>A11/10/50/2</f>
        <v>21.56</v>
      </c>
      <c r="F27" s="164">
        <v>5881.491</v>
      </c>
      <c r="G27" s="739">
        <f t="shared" si="0"/>
        <v>126804.94596</v>
      </c>
      <c r="J27" s="738"/>
    </row>
    <row r="28" spans="1:10" x14ac:dyDescent="0.35">
      <c r="A28" s="1343" t="s">
        <v>527</v>
      </c>
      <c r="B28" s="1344"/>
      <c r="C28" s="159"/>
      <c r="D28" s="159"/>
      <c r="E28" s="159">
        <f>E27</f>
        <v>21.56</v>
      </c>
      <c r="F28" s="164">
        <v>4426.6949999999997</v>
      </c>
      <c r="G28" s="739">
        <f>E28*F28</f>
        <v>95439.544199999989</v>
      </c>
      <c r="J28" s="738"/>
    </row>
    <row r="29" spans="1:10" x14ac:dyDescent="0.35">
      <c r="A29" s="1342" t="s">
        <v>528</v>
      </c>
      <c r="B29" s="1342"/>
      <c r="C29" s="159"/>
      <c r="D29" s="159"/>
      <c r="E29" s="159"/>
      <c r="F29" s="164"/>
      <c r="G29" s="742">
        <f>G21+G22+G25+G26+G27+G28+G23+G24</f>
        <v>513021.62522267998</v>
      </c>
    </row>
    <row r="30" spans="1:10" x14ac:dyDescent="0.35">
      <c r="A30" s="847"/>
      <c r="B30" s="847"/>
      <c r="C30" s="776"/>
      <c r="D30" s="776"/>
      <c r="E30" s="776"/>
      <c r="F30" s="848"/>
      <c r="G30" s="849"/>
    </row>
    <row r="31" spans="1:10" x14ac:dyDescent="0.35">
      <c r="A31" s="847"/>
      <c r="B31" s="847"/>
      <c r="C31" s="776"/>
      <c r="D31" s="776"/>
      <c r="E31" s="776"/>
      <c r="F31" s="848"/>
      <c r="G31" s="849"/>
    </row>
    <row r="32" spans="1:10" x14ac:dyDescent="0.35">
      <c r="A32" s="847"/>
      <c r="B32" s="847"/>
      <c r="C32" s="776"/>
      <c r="D32" s="776"/>
      <c r="E32" s="776"/>
      <c r="F32" s="848"/>
      <c r="G32" s="849"/>
    </row>
    <row r="33" spans="1:7" x14ac:dyDescent="0.35">
      <c r="A33" s="847"/>
      <c r="B33" s="847"/>
      <c r="C33" s="776"/>
      <c r="D33" s="776"/>
      <c r="E33" s="776"/>
      <c r="F33" s="848"/>
      <c r="G33" s="849"/>
    </row>
    <row r="34" spans="1:7" x14ac:dyDescent="0.35">
      <c r="A34" s="847"/>
      <c r="B34" s="847"/>
      <c r="C34" s="776"/>
      <c r="D34" s="776"/>
      <c r="E34" s="776"/>
      <c r="F34" s="848"/>
      <c r="G34" s="849"/>
    </row>
    <row r="35" spans="1:7" x14ac:dyDescent="0.35">
      <c r="A35" s="847"/>
      <c r="B35" s="847"/>
      <c r="C35" s="776"/>
      <c r="D35" s="776"/>
      <c r="E35" s="776"/>
      <c r="F35" s="848"/>
      <c r="G35" s="849"/>
    </row>
    <row r="36" spans="1:7" x14ac:dyDescent="0.35">
      <c r="A36" s="1334"/>
      <c r="B36" s="1334"/>
      <c r="C36" s="161"/>
      <c r="D36" s="161"/>
      <c r="E36" s="161"/>
      <c r="F36" s="161"/>
      <c r="G36" s="161"/>
    </row>
    <row r="37" spans="1:7" x14ac:dyDescent="0.35">
      <c r="A37" s="161"/>
      <c r="B37" s="161"/>
      <c r="C37" s="161"/>
      <c r="D37" s="161"/>
      <c r="E37" s="161"/>
      <c r="F37" s="161"/>
      <c r="G37" s="161"/>
    </row>
    <row r="38" spans="1:7" ht="30.75" customHeight="1" x14ac:dyDescent="0.35">
      <c r="A38" s="1346" t="s">
        <v>529</v>
      </c>
      <c r="B38" s="1346"/>
      <c r="C38" s="1346"/>
      <c r="D38" s="1346"/>
      <c r="E38" s="1346"/>
      <c r="F38" s="1346"/>
      <c r="G38" s="1346"/>
    </row>
    <row r="39" spans="1:7" x14ac:dyDescent="0.35">
      <c r="A39" s="158"/>
      <c r="B39" s="158"/>
      <c r="C39" s="158"/>
      <c r="D39" s="158"/>
      <c r="E39" s="158"/>
      <c r="F39" s="158"/>
      <c r="G39" s="158"/>
    </row>
    <row r="40" spans="1:7" x14ac:dyDescent="0.35">
      <c r="A40" s="1345" t="s">
        <v>530</v>
      </c>
      <c r="B40" s="1345"/>
      <c r="C40" s="1345"/>
      <c r="D40" s="1345"/>
      <c r="E40" s="1345"/>
      <c r="F40" s="1345"/>
      <c r="G40" s="162"/>
    </row>
    <row r="41" spans="1:7" x14ac:dyDescent="0.35">
      <c r="A41" s="158"/>
      <c r="B41" s="158"/>
      <c r="C41" s="158"/>
      <c r="D41" s="158"/>
      <c r="E41" s="158"/>
      <c r="F41" s="158"/>
      <c r="G41" s="158"/>
    </row>
    <row r="42" spans="1:7" ht="70" x14ac:dyDescent="0.35">
      <c r="A42" s="159" t="s">
        <v>502</v>
      </c>
      <c r="B42" s="159" t="s">
        <v>503</v>
      </c>
      <c r="C42" s="159" t="s">
        <v>531</v>
      </c>
      <c r="D42" s="159" t="s">
        <v>505</v>
      </c>
      <c r="E42" s="159" t="s">
        <v>506</v>
      </c>
      <c r="F42" s="159" t="s">
        <v>507</v>
      </c>
      <c r="G42" s="158"/>
    </row>
    <row r="43" spans="1:7" x14ac:dyDescent="0.35">
      <c r="A43" s="739">
        <v>1</v>
      </c>
      <c r="B43" s="739">
        <v>2</v>
      </c>
      <c r="C43" s="739">
        <v>3</v>
      </c>
      <c r="D43" s="739">
        <v>4</v>
      </c>
      <c r="E43" s="208">
        <v>5</v>
      </c>
      <c r="F43" s="739">
        <v>6</v>
      </c>
      <c r="G43" s="158"/>
    </row>
    <row r="44" spans="1:7" x14ac:dyDescent="0.35">
      <c r="A44" s="159">
        <v>985</v>
      </c>
      <c r="B44" s="159">
        <v>15</v>
      </c>
      <c r="C44" s="159">
        <f>A44/B44*3</f>
        <v>197</v>
      </c>
      <c r="D44" s="159" t="s">
        <v>508</v>
      </c>
      <c r="E44" s="159">
        <v>19</v>
      </c>
      <c r="F44" s="159">
        <f>C44/1000*E44</f>
        <v>3.7430000000000003</v>
      </c>
      <c r="G44" s="158"/>
    </row>
    <row r="45" spans="1:7" x14ac:dyDescent="0.35">
      <c r="A45" s="159">
        <v>752</v>
      </c>
      <c r="B45" s="159">
        <v>15</v>
      </c>
      <c r="C45" s="159">
        <f>A45/B45*3</f>
        <v>150.4</v>
      </c>
      <c r="D45" s="159">
        <v>50</v>
      </c>
      <c r="E45" s="159">
        <v>28</v>
      </c>
      <c r="F45" s="159">
        <f>C45/1000*E45</f>
        <v>4.2111999999999998</v>
      </c>
      <c r="G45" s="158"/>
    </row>
    <row r="46" spans="1:7" x14ac:dyDescent="0.35">
      <c r="A46" s="159">
        <v>663</v>
      </c>
      <c r="B46" s="159">
        <v>15</v>
      </c>
      <c r="C46" s="159">
        <f>A46/B46*3</f>
        <v>132.60000000000002</v>
      </c>
      <c r="D46" s="159">
        <v>70</v>
      </c>
      <c r="E46" s="159">
        <v>38</v>
      </c>
      <c r="F46" s="159">
        <f>C46/1000*E46</f>
        <v>5.0388000000000011</v>
      </c>
      <c r="G46" s="158"/>
    </row>
    <row r="47" spans="1:7" x14ac:dyDescent="0.35">
      <c r="A47" s="159"/>
      <c r="B47" s="159">
        <v>15</v>
      </c>
      <c r="C47" s="159">
        <f>A47/B47*3</f>
        <v>0</v>
      </c>
      <c r="D47" s="159" t="s">
        <v>509</v>
      </c>
      <c r="E47" s="159">
        <v>48</v>
      </c>
      <c r="F47" s="159">
        <f>C47/1000*E47</f>
        <v>0</v>
      </c>
      <c r="G47" s="158"/>
    </row>
    <row r="48" spans="1:7" x14ac:dyDescent="0.35">
      <c r="A48" s="159"/>
      <c r="B48" s="159"/>
      <c r="C48" s="159"/>
      <c r="D48" s="159"/>
      <c r="E48" s="159"/>
      <c r="F48" s="159">
        <f>F44+F45+F46+F47</f>
        <v>12.993000000000002</v>
      </c>
      <c r="G48" s="158"/>
    </row>
    <row r="49" spans="1:10" x14ac:dyDescent="0.35">
      <c r="A49" s="1345" t="s">
        <v>511</v>
      </c>
      <c r="B49" s="1345"/>
      <c r="C49" s="1345"/>
      <c r="D49" s="1345"/>
      <c r="E49" s="1345"/>
      <c r="F49" s="1345"/>
      <c r="G49" s="1345"/>
    </row>
    <row r="50" spans="1:10" x14ac:dyDescent="0.35">
      <c r="A50" s="158"/>
      <c r="B50" s="158"/>
      <c r="C50" s="158"/>
      <c r="D50" s="158"/>
      <c r="E50" s="158"/>
      <c r="F50" s="158"/>
      <c r="G50" s="158"/>
    </row>
    <row r="51" spans="1:10" x14ac:dyDescent="0.35">
      <c r="A51" s="1345" t="s">
        <v>532</v>
      </c>
      <c r="B51" s="1345"/>
      <c r="C51" s="1345"/>
      <c r="D51" s="1345"/>
      <c r="E51" s="1345"/>
      <c r="F51" s="1345"/>
      <c r="G51" s="158"/>
    </row>
    <row r="52" spans="1:10" x14ac:dyDescent="0.35">
      <c r="A52" s="158"/>
      <c r="B52" s="158"/>
      <c r="C52" s="158"/>
      <c r="D52" s="158"/>
      <c r="E52" s="158"/>
      <c r="F52" s="158"/>
      <c r="G52" s="158"/>
    </row>
    <row r="53" spans="1:10" ht="50" x14ac:dyDescent="0.35">
      <c r="A53" s="1342" t="s">
        <v>513</v>
      </c>
      <c r="B53" s="1342"/>
      <c r="C53" s="159" t="s">
        <v>514</v>
      </c>
      <c r="D53" s="159" t="s">
        <v>533</v>
      </c>
      <c r="E53" s="159" t="s">
        <v>516</v>
      </c>
      <c r="F53" s="159" t="s">
        <v>517</v>
      </c>
      <c r="G53" s="159" t="s">
        <v>518</v>
      </c>
    </row>
    <row r="54" spans="1:10" x14ac:dyDescent="0.35">
      <c r="A54" s="1331">
        <v>1</v>
      </c>
      <c r="B54" s="1332"/>
      <c r="C54" s="739">
        <v>2</v>
      </c>
      <c r="D54" s="739">
        <v>3</v>
      </c>
      <c r="E54" s="739">
        <v>4</v>
      </c>
      <c r="F54" s="739">
        <v>5</v>
      </c>
      <c r="G54" s="739">
        <v>6</v>
      </c>
    </row>
    <row r="55" spans="1:10" x14ac:dyDescent="0.35">
      <c r="A55" s="1333" t="s">
        <v>519</v>
      </c>
      <c r="B55" s="1333"/>
      <c r="C55" s="159">
        <v>80</v>
      </c>
      <c r="D55" s="159">
        <f>F48</f>
        <v>12.993000000000002</v>
      </c>
      <c r="E55" s="159">
        <f>D55/100*C55</f>
        <v>10.394400000000001</v>
      </c>
      <c r="F55" s="159">
        <v>169.89524999999998</v>
      </c>
      <c r="G55" s="739">
        <f t="shared" ref="G55:G59" si="1">E55*F55</f>
        <v>1765.9591865999998</v>
      </c>
      <c r="J55" s="738"/>
    </row>
    <row r="56" spans="1:10" x14ac:dyDescent="0.35">
      <c r="A56" s="1333" t="s">
        <v>520</v>
      </c>
      <c r="B56" s="1333"/>
      <c r="C56" s="159">
        <v>20</v>
      </c>
      <c r="D56" s="159">
        <f>F48</f>
        <v>12.993000000000002</v>
      </c>
      <c r="E56" s="159">
        <f>D56/100*C56</f>
        <v>2.5986000000000002</v>
      </c>
      <c r="F56" s="159">
        <v>150.09225000000001</v>
      </c>
      <c r="G56" s="739">
        <f t="shared" si="1"/>
        <v>390.02972085000005</v>
      </c>
      <c r="J56" s="738"/>
    </row>
    <row r="57" spans="1:10" x14ac:dyDescent="0.35">
      <c r="A57" s="1333" t="s">
        <v>521</v>
      </c>
      <c r="B57" s="1333"/>
      <c r="C57" s="159">
        <v>20</v>
      </c>
      <c r="D57" s="159">
        <f>F48</f>
        <v>12.993000000000002</v>
      </c>
      <c r="E57" s="159">
        <f>D57/100*C57</f>
        <v>2.5986000000000002</v>
      </c>
      <c r="F57" s="159">
        <v>166.03125</v>
      </c>
      <c r="G57" s="739">
        <f t="shared" si="1"/>
        <v>431.44880625000002</v>
      </c>
      <c r="J57" s="738"/>
    </row>
    <row r="58" spans="1:10" x14ac:dyDescent="0.35">
      <c r="A58" s="1343" t="s">
        <v>522</v>
      </c>
      <c r="B58" s="1344"/>
      <c r="C58" s="159">
        <v>20</v>
      </c>
      <c r="D58" s="159">
        <f>F48</f>
        <v>12.993000000000002</v>
      </c>
      <c r="E58" s="159">
        <f>E56</f>
        <v>2.5986000000000002</v>
      </c>
      <c r="F58" s="159">
        <v>169.89524999999998</v>
      </c>
      <c r="G58" s="739">
        <f t="shared" si="1"/>
        <v>441.48979664999996</v>
      </c>
      <c r="J58" s="738"/>
    </row>
    <row r="59" spans="1:10" x14ac:dyDescent="0.35">
      <c r="A59" s="1333" t="s">
        <v>523</v>
      </c>
      <c r="B59" s="1333"/>
      <c r="C59" s="159">
        <v>15</v>
      </c>
      <c r="D59" s="159">
        <f>F48</f>
        <v>12.993000000000002</v>
      </c>
      <c r="E59" s="159">
        <f>D59/100*C59</f>
        <v>1.9489500000000002</v>
      </c>
      <c r="F59" s="159">
        <v>130.41</v>
      </c>
      <c r="G59" s="739">
        <f t="shared" si="1"/>
        <v>254.16256950000002</v>
      </c>
      <c r="J59" s="738"/>
    </row>
    <row r="60" spans="1:10" x14ac:dyDescent="0.35">
      <c r="A60" s="1333" t="s">
        <v>524</v>
      </c>
      <c r="B60" s="1333"/>
      <c r="C60" s="159">
        <v>0.3</v>
      </c>
      <c r="D60" s="159">
        <f>F48</f>
        <v>12.993000000000002</v>
      </c>
      <c r="E60" s="159">
        <f>D60/100*C60</f>
        <v>3.8979000000000007E-2</v>
      </c>
      <c r="F60" s="159">
        <v>58.925999999999995</v>
      </c>
      <c r="G60" s="739">
        <f>E60*F60</f>
        <v>2.2968765540000002</v>
      </c>
      <c r="J60" s="738"/>
    </row>
    <row r="61" spans="1:10" ht="26.25" customHeight="1" x14ac:dyDescent="0.35">
      <c r="A61" s="1348" t="s">
        <v>534</v>
      </c>
      <c r="B61" s="1348"/>
      <c r="C61" s="1336" t="s">
        <v>526</v>
      </c>
      <c r="D61" s="1338"/>
      <c r="E61" s="163">
        <f>A45/10/50/2</f>
        <v>0.752</v>
      </c>
      <c r="F61" s="163">
        <v>14489.999999999998</v>
      </c>
      <c r="G61" s="740">
        <f>E61*F61</f>
        <v>10896.48</v>
      </c>
      <c r="J61" s="738"/>
    </row>
    <row r="62" spans="1:10" x14ac:dyDescent="0.35">
      <c r="A62" s="1342" t="s">
        <v>528</v>
      </c>
      <c r="B62" s="1342"/>
      <c r="C62" s="159"/>
      <c r="D62" s="159"/>
      <c r="E62" s="159"/>
      <c r="F62" s="159"/>
      <c r="G62" s="742">
        <f>G55+G56+G59+G60+G61+G57+G58</f>
        <v>14181.866956403999</v>
      </c>
    </row>
    <row r="63" spans="1:10" x14ac:dyDescent="0.35">
      <c r="A63" s="1334"/>
      <c r="B63" s="1334"/>
      <c r="C63" s="161"/>
      <c r="D63" s="161"/>
      <c r="E63" s="161"/>
      <c r="F63" s="161"/>
      <c r="G63" s="161"/>
    </row>
    <row r="64" spans="1:10" x14ac:dyDescent="0.35">
      <c r="A64" s="158"/>
      <c r="B64" s="158"/>
      <c r="C64" s="158"/>
      <c r="D64" s="158"/>
      <c r="E64" s="158"/>
      <c r="F64" s="158"/>
      <c r="G64" s="158"/>
    </row>
    <row r="65" spans="1:7" x14ac:dyDescent="0.35">
      <c r="A65" s="1347" t="s">
        <v>535</v>
      </c>
      <c r="B65" s="1347"/>
      <c r="C65" s="1347"/>
      <c r="D65" s="1347"/>
      <c r="E65" s="1347"/>
      <c r="F65" s="1347"/>
      <c r="G65" s="1347"/>
    </row>
    <row r="66" spans="1:7" x14ac:dyDescent="0.35">
      <c r="A66" s="158"/>
      <c r="B66" s="158"/>
      <c r="C66" s="158"/>
      <c r="D66" s="158"/>
      <c r="E66" s="158"/>
      <c r="F66" s="158"/>
      <c r="G66" s="158"/>
    </row>
    <row r="67" spans="1:7" x14ac:dyDescent="0.35">
      <c r="A67" s="1345" t="s">
        <v>536</v>
      </c>
      <c r="B67" s="1345"/>
      <c r="C67" s="1345"/>
      <c r="D67" s="1345"/>
      <c r="E67" s="1345"/>
      <c r="F67" s="1345"/>
      <c r="G67" s="158"/>
    </row>
    <row r="68" spans="1:7" x14ac:dyDescent="0.35">
      <c r="A68" s="158"/>
      <c r="B68" s="158"/>
      <c r="C68" s="158"/>
      <c r="D68" s="158"/>
      <c r="E68" s="158"/>
      <c r="F68" s="158"/>
      <c r="G68" s="158"/>
    </row>
    <row r="69" spans="1:7" ht="70" x14ac:dyDescent="0.35">
      <c r="A69" s="159" t="s">
        <v>502</v>
      </c>
      <c r="B69" s="159" t="s">
        <v>503</v>
      </c>
      <c r="C69" s="159" t="s">
        <v>531</v>
      </c>
      <c r="D69" s="159" t="s">
        <v>505</v>
      </c>
      <c r="E69" s="159" t="s">
        <v>506</v>
      </c>
      <c r="F69" s="157" t="s">
        <v>507</v>
      </c>
      <c r="G69" s="158"/>
    </row>
    <row r="70" spans="1:7" x14ac:dyDescent="0.35">
      <c r="A70" s="739">
        <v>1</v>
      </c>
      <c r="B70" s="739">
        <v>2</v>
      </c>
      <c r="C70" s="739">
        <v>3</v>
      </c>
      <c r="D70" s="739">
        <v>4</v>
      </c>
      <c r="E70" s="739">
        <v>5</v>
      </c>
      <c r="F70" s="739">
        <v>6</v>
      </c>
      <c r="G70" s="158"/>
    </row>
    <row r="71" spans="1:7" x14ac:dyDescent="0.35">
      <c r="A71" s="159">
        <v>9893</v>
      </c>
      <c r="B71" s="159">
        <v>20</v>
      </c>
      <c r="C71" s="159">
        <f>A71/B71</f>
        <v>494.65</v>
      </c>
      <c r="D71" s="159" t="s">
        <v>537</v>
      </c>
      <c r="E71" s="159">
        <v>72</v>
      </c>
      <c r="F71" s="159">
        <f>C71/1000*E71</f>
        <v>35.614799999999995</v>
      </c>
      <c r="G71" s="158"/>
    </row>
    <row r="72" spans="1:7" x14ac:dyDescent="0.35">
      <c r="A72" s="159">
        <v>8625</v>
      </c>
      <c r="B72" s="159">
        <v>20</v>
      </c>
      <c r="C72" s="159">
        <f>A72/B72</f>
        <v>431.25</v>
      </c>
      <c r="D72" s="159" t="s">
        <v>538</v>
      </c>
      <c r="E72" s="159">
        <v>82</v>
      </c>
      <c r="F72" s="159">
        <f>C72/1000*E72</f>
        <v>35.362500000000004</v>
      </c>
      <c r="G72" s="158"/>
    </row>
    <row r="73" spans="1:7" x14ac:dyDescent="0.35">
      <c r="A73" s="159">
        <v>18882</v>
      </c>
      <c r="B73" s="159">
        <v>20</v>
      </c>
      <c r="C73" s="159">
        <f>A73/B73</f>
        <v>944.1</v>
      </c>
      <c r="D73" s="159" t="s">
        <v>539</v>
      </c>
      <c r="E73" s="159">
        <v>111</v>
      </c>
      <c r="F73" s="159">
        <f>C73/1000*E73</f>
        <v>104.79510000000001</v>
      </c>
      <c r="G73" s="158"/>
    </row>
    <row r="74" spans="1:7" x14ac:dyDescent="0.35">
      <c r="A74" s="159"/>
      <c r="B74" s="159">
        <v>20</v>
      </c>
      <c r="C74" s="159">
        <f>A74/B74</f>
        <v>0</v>
      </c>
      <c r="D74" s="159">
        <v>240</v>
      </c>
      <c r="E74" s="159">
        <v>152</v>
      </c>
      <c r="F74" s="159">
        <f>C74/1000*E74</f>
        <v>0</v>
      </c>
      <c r="G74" s="158"/>
    </row>
    <row r="75" spans="1:7" x14ac:dyDescent="0.35">
      <c r="A75" s="159" t="s">
        <v>510</v>
      </c>
      <c r="B75" s="159"/>
      <c r="C75" s="159"/>
      <c r="D75" s="159"/>
      <c r="E75" s="159"/>
      <c r="F75" s="159">
        <f>+F71+F72+F73+F74</f>
        <v>175.7724</v>
      </c>
      <c r="G75" s="158"/>
    </row>
    <row r="76" spans="1:7" x14ac:dyDescent="0.35">
      <c r="A76" s="158"/>
      <c r="B76" s="158"/>
      <c r="C76" s="158"/>
      <c r="D76" s="158"/>
      <c r="E76" s="158"/>
      <c r="F76" s="158"/>
      <c r="G76" s="158"/>
    </row>
    <row r="77" spans="1:7" x14ac:dyDescent="0.35">
      <c r="A77" s="1345" t="s">
        <v>540</v>
      </c>
      <c r="B77" s="1345"/>
      <c r="C77" s="1345"/>
      <c r="D77" s="1345"/>
      <c r="E77" s="1345"/>
      <c r="F77" s="1345"/>
      <c r="G77" s="158"/>
    </row>
    <row r="78" spans="1:7" x14ac:dyDescent="0.35">
      <c r="A78" s="158"/>
      <c r="B78" s="158"/>
      <c r="C78" s="158"/>
      <c r="D78" s="158"/>
      <c r="E78" s="158"/>
      <c r="F78" s="158"/>
      <c r="G78" s="158"/>
    </row>
    <row r="79" spans="1:7" ht="50" x14ac:dyDescent="0.35">
      <c r="A79" s="1342" t="s">
        <v>513</v>
      </c>
      <c r="B79" s="1342"/>
      <c r="C79" s="159" t="s">
        <v>514</v>
      </c>
      <c r="D79" s="159" t="s">
        <v>541</v>
      </c>
      <c r="E79" s="159" t="s">
        <v>516</v>
      </c>
      <c r="F79" s="159" t="s">
        <v>517</v>
      </c>
      <c r="G79" s="159" t="s">
        <v>518</v>
      </c>
    </row>
    <row r="80" spans="1:7" x14ac:dyDescent="0.35">
      <c r="A80" s="1331">
        <v>1</v>
      </c>
      <c r="B80" s="1332"/>
      <c r="C80" s="739">
        <v>2</v>
      </c>
      <c r="D80" s="739">
        <v>3</v>
      </c>
      <c r="E80" s="739">
        <v>4</v>
      </c>
      <c r="F80" s="739">
        <v>5</v>
      </c>
      <c r="G80" s="739">
        <v>6</v>
      </c>
    </row>
    <row r="81" spans="1:10" x14ac:dyDescent="0.35">
      <c r="A81" s="1333" t="s">
        <v>542</v>
      </c>
      <c r="B81" s="1333"/>
      <c r="C81" s="159">
        <v>40</v>
      </c>
      <c r="D81" s="159">
        <f>F75</f>
        <v>175.7724</v>
      </c>
      <c r="E81" s="159">
        <f>D81/100*C81</f>
        <v>70.308959999999999</v>
      </c>
      <c r="F81" s="159">
        <v>652.05000000000007</v>
      </c>
      <c r="G81" s="739">
        <f t="shared" ref="G81:G87" si="2">E81*F81</f>
        <v>45844.957368000003</v>
      </c>
      <c r="J81" s="741"/>
    </row>
    <row r="82" spans="1:10" x14ac:dyDescent="0.35">
      <c r="A82" s="1333" t="s">
        <v>523</v>
      </c>
      <c r="B82" s="1333"/>
      <c r="C82" s="159">
        <v>2</v>
      </c>
      <c r="D82" s="159">
        <f>F75</f>
        <v>175.7724</v>
      </c>
      <c r="E82" s="159">
        <f>D82/100*C82</f>
        <v>3.5154480000000001</v>
      </c>
      <c r="F82" s="159">
        <v>130.41</v>
      </c>
      <c r="G82" s="739">
        <f t="shared" si="2"/>
        <v>458.44957368000001</v>
      </c>
      <c r="J82" s="741"/>
    </row>
    <row r="83" spans="1:10" x14ac:dyDescent="0.35">
      <c r="A83" s="1333" t="s">
        <v>543</v>
      </c>
      <c r="B83" s="1333"/>
      <c r="C83" s="159">
        <v>2</v>
      </c>
      <c r="D83" s="159">
        <f>F75</f>
        <v>175.7724</v>
      </c>
      <c r="E83" s="159">
        <f>D83/100*C83</f>
        <v>3.5154480000000001</v>
      </c>
      <c r="F83" s="159">
        <v>207.4485</v>
      </c>
      <c r="G83" s="739">
        <f t="shared" si="2"/>
        <v>729.274414428</v>
      </c>
      <c r="J83" s="741"/>
    </row>
    <row r="84" spans="1:10" x14ac:dyDescent="0.35">
      <c r="A84" s="1333" t="s">
        <v>544</v>
      </c>
      <c r="B84" s="1333"/>
      <c r="C84" s="159">
        <v>0.1</v>
      </c>
      <c r="D84" s="159">
        <f>F75</f>
        <v>175.7724</v>
      </c>
      <c r="E84" s="159">
        <f>D84/100*C84</f>
        <v>0.17577240000000002</v>
      </c>
      <c r="F84" s="159">
        <v>64.239000000000004</v>
      </c>
      <c r="G84" s="739">
        <f t="shared" si="2"/>
        <v>11.291443203600002</v>
      </c>
      <c r="J84" s="741"/>
    </row>
    <row r="85" spans="1:10" x14ac:dyDescent="0.35">
      <c r="A85" s="1343" t="s">
        <v>545</v>
      </c>
      <c r="B85" s="1344"/>
      <c r="C85" s="159"/>
      <c r="D85" s="159">
        <v>593.9</v>
      </c>
      <c r="E85" s="159">
        <v>22</v>
      </c>
      <c r="F85" s="159">
        <v>963.10200000000009</v>
      </c>
      <c r="G85" s="739">
        <f t="shared" si="2"/>
        <v>21188.244000000002</v>
      </c>
      <c r="J85" s="741"/>
    </row>
    <row r="86" spans="1:10" x14ac:dyDescent="0.35">
      <c r="A86" s="1333" t="s">
        <v>546</v>
      </c>
      <c r="B86" s="1333"/>
      <c r="C86" s="159"/>
      <c r="D86" s="159">
        <v>250</v>
      </c>
      <c r="E86" s="159">
        <v>88</v>
      </c>
      <c r="F86" s="159">
        <v>78.487499999999997</v>
      </c>
      <c r="G86" s="739">
        <f t="shared" si="2"/>
        <v>6906.9</v>
      </c>
      <c r="J86" s="741"/>
    </row>
    <row r="87" spans="1:10" x14ac:dyDescent="0.35">
      <c r="A87" s="1343" t="s">
        <v>547</v>
      </c>
      <c r="B87" s="1344"/>
      <c r="C87" s="159" t="s">
        <v>548</v>
      </c>
      <c r="D87" s="159">
        <v>50</v>
      </c>
      <c r="E87" s="159">
        <v>18</v>
      </c>
      <c r="F87" s="159">
        <v>4081.35</v>
      </c>
      <c r="G87" s="739">
        <f t="shared" si="2"/>
        <v>73464.3</v>
      </c>
      <c r="J87" s="741"/>
    </row>
    <row r="88" spans="1:10" x14ac:dyDescent="0.35">
      <c r="A88" s="1342" t="s">
        <v>549</v>
      </c>
      <c r="B88" s="1342"/>
      <c r="C88" s="159"/>
      <c r="D88" s="159"/>
      <c r="E88" s="159"/>
      <c r="F88" s="159"/>
      <c r="G88" s="742">
        <f>G81+G82+G83+G84+G86+G85+G87</f>
        <v>148603.41679931161</v>
      </c>
    </row>
    <row r="89" spans="1:10" x14ac:dyDescent="0.35">
      <c r="A89" s="1334"/>
      <c r="B89" s="1334"/>
      <c r="C89" s="161"/>
      <c r="D89" s="161"/>
      <c r="E89" s="161"/>
      <c r="F89" s="161"/>
      <c r="G89" s="161"/>
    </row>
    <row r="90" spans="1:10" x14ac:dyDescent="0.35">
      <c r="A90" s="158"/>
      <c r="B90" s="158"/>
      <c r="C90" s="158"/>
      <c r="D90" s="158"/>
      <c r="E90" s="158"/>
      <c r="F90" s="158"/>
      <c r="G90" s="158"/>
    </row>
    <row r="91" spans="1:10" x14ac:dyDescent="0.35">
      <c r="A91" s="1346" t="s">
        <v>550</v>
      </c>
      <c r="B91" s="1346"/>
      <c r="C91" s="1346"/>
      <c r="D91" s="1346"/>
      <c r="E91" s="1346"/>
      <c r="F91" s="1346"/>
      <c r="G91" s="1346"/>
    </row>
    <row r="92" spans="1:10" x14ac:dyDescent="0.35">
      <c r="A92" s="158"/>
      <c r="B92" s="158"/>
      <c r="C92" s="158"/>
      <c r="D92" s="158"/>
      <c r="E92" s="158"/>
      <c r="F92" s="158"/>
      <c r="G92" s="158"/>
    </row>
    <row r="93" spans="1:10" x14ac:dyDescent="0.35">
      <c r="A93" s="1345" t="s">
        <v>551</v>
      </c>
      <c r="B93" s="1345"/>
      <c r="C93" s="1345"/>
      <c r="D93" s="1345"/>
      <c r="E93" s="1345"/>
      <c r="F93" s="1345"/>
      <c r="G93" s="158"/>
    </row>
    <row r="94" spans="1:10" x14ac:dyDescent="0.35">
      <c r="A94" s="158"/>
      <c r="B94" s="158"/>
      <c r="C94" s="158"/>
      <c r="D94" s="158"/>
      <c r="E94" s="158"/>
      <c r="F94" s="158"/>
      <c r="G94" s="158"/>
    </row>
    <row r="95" spans="1:10" ht="50" x14ac:dyDescent="0.35">
      <c r="A95" s="1342" t="s">
        <v>110</v>
      </c>
      <c r="B95" s="1342"/>
      <c r="C95" s="159" t="s">
        <v>502</v>
      </c>
      <c r="D95" s="159" t="s">
        <v>503</v>
      </c>
      <c r="E95" s="159" t="s">
        <v>552</v>
      </c>
      <c r="F95" s="159" t="s">
        <v>553</v>
      </c>
    </row>
    <row r="96" spans="1:10" x14ac:dyDescent="0.35">
      <c r="A96" s="1331">
        <v>1</v>
      </c>
      <c r="B96" s="1332"/>
      <c r="C96" s="739">
        <v>2</v>
      </c>
      <c r="D96" s="739">
        <v>3</v>
      </c>
      <c r="E96" s="739">
        <v>4</v>
      </c>
      <c r="F96" s="739">
        <v>5</v>
      </c>
    </row>
    <row r="97" spans="1:10" x14ac:dyDescent="0.35">
      <c r="A97" s="1342" t="s">
        <v>554</v>
      </c>
      <c r="B97" s="1342"/>
      <c r="C97" s="159">
        <v>19</v>
      </c>
      <c r="D97" s="159">
        <v>3</v>
      </c>
      <c r="E97" s="159">
        <v>30</v>
      </c>
      <c r="F97" s="159">
        <f>C97/D97*E97</f>
        <v>190</v>
      </c>
    </row>
    <row r="98" spans="1:10" x14ac:dyDescent="0.35">
      <c r="A98" s="1342" t="s">
        <v>555</v>
      </c>
      <c r="B98" s="1342"/>
      <c r="C98" s="159"/>
      <c r="D98" s="159">
        <v>3</v>
      </c>
      <c r="E98" s="159">
        <v>38</v>
      </c>
      <c r="F98" s="159">
        <f>C98/D98*E98</f>
        <v>0</v>
      </c>
    </row>
    <row r="99" spans="1:10" x14ac:dyDescent="0.35">
      <c r="A99" s="1342" t="s">
        <v>556</v>
      </c>
      <c r="B99" s="1342"/>
      <c r="C99" s="159">
        <v>339</v>
      </c>
      <c r="D99" s="159">
        <v>3</v>
      </c>
      <c r="E99" s="159">
        <v>11</v>
      </c>
      <c r="F99" s="159">
        <f>C99/D99*E99</f>
        <v>1243</v>
      </c>
    </row>
    <row r="100" spans="1:10" x14ac:dyDescent="0.35">
      <c r="A100" s="1342" t="s">
        <v>557</v>
      </c>
      <c r="B100" s="1342"/>
      <c r="C100" s="159"/>
      <c r="D100" s="159">
        <v>3</v>
      </c>
      <c r="E100" s="159">
        <v>157</v>
      </c>
      <c r="F100" s="159">
        <f>C100/D100*E100</f>
        <v>0</v>
      </c>
    </row>
    <row r="101" spans="1:10" x14ac:dyDescent="0.35">
      <c r="A101" s="1342" t="s">
        <v>159</v>
      </c>
      <c r="B101" s="1342"/>
      <c r="C101" s="159"/>
      <c r="D101" s="159">
        <v>6</v>
      </c>
      <c r="E101" s="159">
        <v>10</v>
      </c>
      <c r="F101" s="159">
        <f>C101/D101*E101</f>
        <v>0</v>
      </c>
    </row>
    <row r="102" spans="1:10" x14ac:dyDescent="0.35">
      <c r="A102" s="1342"/>
      <c r="B102" s="1342"/>
      <c r="C102" s="159" t="s">
        <v>510</v>
      </c>
      <c r="D102" s="159"/>
      <c r="E102" s="159"/>
      <c r="F102" s="159">
        <f>F97+F98+F99+F100+F101</f>
        <v>1433</v>
      </c>
    </row>
    <row r="103" spans="1:10" x14ac:dyDescent="0.35">
      <c r="A103" s="158"/>
      <c r="B103" s="158"/>
      <c r="C103" s="158"/>
      <c r="D103" s="158"/>
      <c r="E103" s="158"/>
      <c r="F103" s="158"/>
      <c r="G103" s="158"/>
    </row>
    <row r="104" spans="1:10" x14ac:dyDescent="0.35">
      <c r="A104" s="1345" t="s">
        <v>558</v>
      </c>
      <c r="B104" s="1345"/>
      <c r="C104" s="1345"/>
      <c r="D104" s="1345"/>
      <c r="E104" s="1345"/>
      <c r="F104" s="1345"/>
      <c r="G104" s="158"/>
    </row>
    <row r="105" spans="1:10" x14ac:dyDescent="0.35">
      <c r="A105" s="158"/>
      <c r="B105" s="158"/>
      <c r="C105" s="158"/>
      <c r="D105" s="158"/>
      <c r="E105" s="158"/>
      <c r="F105" s="158"/>
      <c r="G105" s="158"/>
    </row>
    <row r="106" spans="1:10" ht="50" x14ac:dyDescent="0.35">
      <c r="A106" s="1342" t="s">
        <v>513</v>
      </c>
      <c r="B106" s="1342"/>
      <c r="C106" s="159" t="s">
        <v>514</v>
      </c>
      <c r="D106" s="159" t="s">
        <v>559</v>
      </c>
      <c r="E106" s="159" t="s">
        <v>516</v>
      </c>
      <c r="F106" s="159" t="s">
        <v>517</v>
      </c>
      <c r="G106" s="159" t="s">
        <v>518</v>
      </c>
    </row>
    <row r="107" spans="1:10" x14ac:dyDescent="0.35">
      <c r="A107" s="1331">
        <v>1</v>
      </c>
      <c r="B107" s="1332"/>
      <c r="C107" s="739">
        <v>2</v>
      </c>
      <c r="D107" s="739">
        <v>3</v>
      </c>
      <c r="E107" s="739">
        <v>4</v>
      </c>
      <c r="F107" s="739">
        <f>5</f>
        <v>5</v>
      </c>
      <c r="G107" s="739">
        <v>6</v>
      </c>
    </row>
    <row r="108" spans="1:10" x14ac:dyDescent="0.35">
      <c r="A108" s="1333" t="s">
        <v>560</v>
      </c>
      <c r="B108" s="1333"/>
      <c r="C108" s="159">
        <v>0.8</v>
      </c>
      <c r="D108" s="159">
        <f>F102</f>
        <v>1433</v>
      </c>
      <c r="E108" s="159">
        <f>D108/100*C108</f>
        <v>11.464</v>
      </c>
      <c r="F108" s="159">
        <v>130.41</v>
      </c>
      <c r="G108" s="739">
        <f>E108*F108</f>
        <v>1495.0202400000001</v>
      </c>
      <c r="J108" s="741"/>
    </row>
    <row r="109" spans="1:10" x14ac:dyDescent="0.35">
      <c r="A109" s="1333" t="s">
        <v>561</v>
      </c>
      <c r="B109" s="1333"/>
      <c r="C109" s="159">
        <v>0.3</v>
      </c>
      <c r="D109" s="159">
        <f>F102</f>
        <v>1433</v>
      </c>
      <c r="E109" s="159">
        <f>D109/100*C109</f>
        <v>4.2989999999999995</v>
      </c>
      <c r="F109" s="164">
        <v>99.836100000000002</v>
      </c>
      <c r="G109" s="739">
        <f t="shared" ref="G109:G121" si="3">E109*F109</f>
        <v>429.19539389999994</v>
      </c>
      <c r="J109" s="741"/>
    </row>
    <row r="110" spans="1:10" x14ac:dyDescent="0.35">
      <c r="A110" s="1333" t="s">
        <v>562</v>
      </c>
      <c r="B110" s="1333"/>
      <c r="C110" s="159">
        <v>9.8000000000000007</v>
      </c>
      <c r="D110" s="159">
        <f>F102</f>
        <v>1433</v>
      </c>
      <c r="E110" s="159">
        <f>D110/100*C110</f>
        <v>140.434</v>
      </c>
      <c r="F110" s="159">
        <v>201.411</v>
      </c>
      <c r="G110" s="739">
        <f t="shared" si="3"/>
        <v>28284.952374</v>
      </c>
      <c r="J110" s="741"/>
    </row>
    <row r="111" spans="1:10" x14ac:dyDescent="0.35">
      <c r="A111" s="1333" t="s">
        <v>563</v>
      </c>
      <c r="B111" s="1333"/>
      <c r="C111" s="159">
        <v>3.3</v>
      </c>
      <c r="D111" s="159">
        <f>F102</f>
        <v>1433</v>
      </c>
      <c r="E111" s="159">
        <f>D111/100*C111</f>
        <v>47.288999999999994</v>
      </c>
      <c r="F111" s="159">
        <v>115.67849999999999</v>
      </c>
      <c r="G111" s="739">
        <f t="shared" si="3"/>
        <v>5470.3205864999991</v>
      </c>
      <c r="J111" s="741"/>
    </row>
    <row r="112" spans="1:10" x14ac:dyDescent="0.35">
      <c r="A112" s="1343" t="s">
        <v>564</v>
      </c>
      <c r="B112" s="1344"/>
      <c r="C112" s="159">
        <v>0.8</v>
      </c>
      <c r="D112" s="159">
        <f>F102</f>
        <v>1433</v>
      </c>
      <c r="E112" s="159">
        <f t="shared" ref="E112:E121" si="4">D112/100*C112</f>
        <v>11.464</v>
      </c>
      <c r="F112" s="159">
        <v>24.874500000000001</v>
      </c>
      <c r="G112" s="739">
        <f t="shared" si="3"/>
        <v>285.16126800000001</v>
      </c>
      <c r="J112" s="741"/>
    </row>
    <row r="113" spans="1:10" x14ac:dyDescent="0.35">
      <c r="A113" s="1333" t="s">
        <v>565</v>
      </c>
      <c r="B113" s="1333"/>
      <c r="C113" s="159">
        <v>0.3</v>
      </c>
      <c r="D113" s="159">
        <f>F102</f>
        <v>1433</v>
      </c>
      <c r="E113" s="159">
        <f t="shared" si="4"/>
        <v>4.2989999999999995</v>
      </c>
      <c r="F113" s="159">
        <v>254.90324999999999</v>
      </c>
      <c r="G113" s="739">
        <f t="shared" si="3"/>
        <v>1095.8290717499999</v>
      </c>
      <c r="J113" s="741"/>
    </row>
    <row r="114" spans="1:10" x14ac:dyDescent="0.35">
      <c r="A114" s="1343" t="s">
        <v>566</v>
      </c>
      <c r="B114" s="1344"/>
      <c r="C114" s="159">
        <v>0.3</v>
      </c>
      <c r="D114" s="159">
        <f>F102</f>
        <v>1433</v>
      </c>
      <c r="E114" s="159">
        <f t="shared" si="4"/>
        <v>4.2989999999999995</v>
      </c>
      <c r="F114" s="159">
        <v>354.03899999999999</v>
      </c>
      <c r="G114" s="739">
        <f t="shared" si="3"/>
        <v>1522.0136609999997</v>
      </c>
      <c r="J114" s="741"/>
    </row>
    <row r="115" spans="1:10" x14ac:dyDescent="0.35">
      <c r="A115" s="1343" t="s">
        <v>567</v>
      </c>
      <c r="B115" s="1344"/>
      <c r="C115" s="159">
        <v>0.2</v>
      </c>
      <c r="D115" s="159">
        <f>F102</f>
        <v>1433</v>
      </c>
      <c r="E115" s="159">
        <f t="shared" si="4"/>
        <v>2.8660000000000001</v>
      </c>
      <c r="F115" s="159">
        <v>347.76</v>
      </c>
      <c r="G115" s="739">
        <f t="shared" si="3"/>
        <v>996.68016</v>
      </c>
      <c r="J115" s="741"/>
    </row>
    <row r="116" spans="1:10" x14ac:dyDescent="0.35">
      <c r="A116" s="1343" t="s">
        <v>568</v>
      </c>
      <c r="B116" s="1344"/>
      <c r="C116" s="159">
        <v>1</v>
      </c>
      <c r="D116" s="159">
        <f>F102</f>
        <v>1433</v>
      </c>
      <c r="E116" s="159">
        <f t="shared" si="4"/>
        <v>14.33</v>
      </c>
      <c r="F116" s="159">
        <v>140.07</v>
      </c>
      <c r="G116" s="739">
        <f t="shared" si="3"/>
        <v>2007.2030999999999</v>
      </c>
      <c r="J116" s="741"/>
    </row>
    <row r="117" spans="1:10" x14ac:dyDescent="0.35">
      <c r="A117" s="1343" t="s">
        <v>569</v>
      </c>
      <c r="B117" s="1344"/>
      <c r="C117" s="159">
        <v>2.6</v>
      </c>
      <c r="D117" s="159">
        <f>F102</f>
        <v>1433</v>
      </c>
      <c r="E117" s="159">
        <f t="shared" si="4"/>
        <v>37.258000000000003</v>
      </c>
      <c r="F117" s="159">
        <v>140.07</v>
      </c>
      <c r="G117" s="739">
        <f t="shared" si="3"/>
        <v>5218.7280600000004</v>
      </c>
      <c r="J117" s="741"/>
    </row>
    <row r="118" spans="1:10" x14ac:dyDescent="0.35">
      <c r="A118" s="1343" t="s">
        <v>570</v>
      </c>
      <c r="B118" s="1344"/>
      <c r="C118" s="159">
        <v>162.5</v>
      </c>
      <c r="D118" s="159">
        <f>F97</f>
        <v>190</v>
      </c>
      <c r="E118" s="159">
        <f t="shared" si="4"/>
        <v>308.75</v>
      </c>
      <c r="F118" s="159">
        <v>107.4675</v>
      </c>
      <c r="G118" s="739">
        <f t="shared" si="3"/>
        <v>33180.590624999997</v>
      </c>
      <c r="J118" s="741"/>
    </row>
    <row r="119" spans="1:10" x14ac:dyDescent="0.35">
      <c r="A119" s="1343" t="s">
        <v>571</v>
      </c>
      <c r="B119" s="1344"/>
      <c r="C119" s="159">
        <v>3.3</v>
      </c>
      <c r="D119" s="159">
        <f>F102</f>
        <v>1433</v>
      </c>
      <c r="E119" s="159">
        <f t="shared" si="4"/>
        <v>47.288999999999994</v>
      </c>
      <c r="F119" s="159">
        <v>38.64</v>
      </c>
      <c r="G119" s="739">
        <f t="shared" si="3"/>
        <v>1827.2469599999997</v>
      </c>
      <c r="J119" s="741"/>
    </row>
    <row r="120" spans="1:10" x14ac:dyDescent="0.35">
      <c r="A120" s="1343" t="s">
        <v>572</v>
      </c>
      <c r="B120" s="1344"/>
      <c r="C120" s="159">
        <v>9.8000000000000007</v>
      </c>
      <c r="D120" s="159">
        <f>F102</f>
        <v>1433</v>
      </c>
      <c r="E120" s="159">
        <f t="shared" si="4"/>
        <v>140.434</v>
      </c>
      <c r="F120" s="159">
        <v>354.03899999999999</v>
      </c>
      <c r="G120" s="739">
        <f t="shared" si="3"/>
        <v>49719.112925999994</v>
      </c>
      <c r="J120" s="741"/>
    </row>
    <row r="121" spans="1:10" x14ac:dyDescent="0.35">
      <c r="A121" s="1343" t="s">
        <v>573</v>
      </c>
      <c r="B121" s="1344"/>
      <c r="C121" s="159">
        <v>2.1</v>
      </c>
      <c r="D121" s="159">
        <f>F102</f>
        <v>1433</v>
      </c>
      <c r="E121" s="159">
        <f t="shared" si="4"/>
        <v>30.093</v>
      </c>
      <c r="F121" s="159">
        <v>54.337499999999991</v>
      </c>
      <c r="G121" s="739">
        <f t="shared" si="3"/>
        <v>1635.1783874999996</v>
      </c>
      <c r="J121" s="741"/>
    </row>
    <row r="122" spans="1:10" x14ac:dyDescent="0.35">
      <c r="A122" s="1342" t="s">
        <v>528</v>
      </c>
      <c r="B122" s="1342"/>
      <c r="C122" s="159"/>
      <c r="D122" s="159"/>
      <c r="E122" s="159"/>
      <c r="F122" s="159"/>
      <c r="G122" s="742">
        <f>G108+G109+G110+G111+G113+G112+G114+G115+G116+G117+G118+G119+G120+G121</f>
        <v>133167.23281364999</v>
      </c>
    </row>
    <row r="123" spans="1:10" x14ac:dyDescent="0.35">
      <c r="A123" s="1334"/>
      <c r="B123" s="1334"/>
      <c r="C123" s="161"/>
      <c r="D123" s="161"/>
      <c r="E123" s="161"/>
      <c r="F123" s="161"/>
      <c r="G123" s="161"/>
    </row>
    <row r="124" spans="1:10" x14ac:dyDescent="0.35">
      <c r="A124" s="161"/>
      <c r="B124" s="161"/>
      <c r="C124" s="161"/>
      <c r="D124" s="161"/>
      <c r="E124" s="161"/>
      <c r="F124" s="161"/>
      <c r="G124" s="161"/>
    </row>
    <row r="125" spans="1:10" x14ac:dyDescent="0.35">
      <c r="A125" s="1346" t="s">
        <v>574</v>
      </c>
      <c r="B125" s="1346"/>
      <c r="C125" s="1346"/>
      <c r="D125" s="1346"/>
      <c r="E125" s="1346"/>
      <c r="F125" s="1346"/>
      <c r="G125" s="1346"/>
    </row>
    <row r="126" spans="1:10" x14ac:dyDescent="0.35">
      <c r="A126" s="158"/>
      <c r="B126" s="158"/>
      <c r="C126" s="158"/>
      <c r="D126" s="158"/>
      <c r="E126" s="158"/>
      <c r="F126" s="158"/>
      <c r="G126" s="158"/>
    </row>
    <row r="127" spans="1:10" x14ac:dyDescent="0.35">
      <c r="A127" s="1345" t="s">
        <v>575</v>
      </c>
      <c r="B127" s="1345"/>
      <c r="C127" s="1345"/>
      <c r="D127" s="1345"/>
      <c r="E127" s="1345"/>
      <c r="F127" s="1345"/>
      <c r="G127" s="158"/>
    </row>
    <row r="128" spans="1:10" x14ac:dyDescent="0.35">
      <c r="A128" s="158"/>
      <c r="B128" s="158"/>
      <c r="C128" s="158"/>
      <c r="D128" s="158"/>
      <c r="E128" s="158"/>
      <c r="F128" s="158"/>
      <c r="G128" s="158"/>
    </row>
    <row r="129" spans="1:10" ht="50" x14ac:dyDescent="0.35">
      <c r="A129" s="157" t="s">
        <v>576</v>
      </c>
      <c r="B129" s="157" t="s">
        <v>502</v>
      </c>
      <c r="C129" s="157" t="s">
        <v>503</v>
      </c>
      <c r="D129" s="157" t="s">
        <v>552</v>
      </c>
      <c r="E129" s="157" t="s">
        <v>553</v>
      </c>
      <c r="F129" s="158"/>
      <c r="G129" s="158"/>
    </row>
    <row r="130" spans="1:10" x14ac:dyDescent="0.35">
      <c r="A130" s="739">
        <v>1</v>
      </c>
      <c r="B130" s="208">
        <v>2</v>
      </c>
      <c r="C130" s="739">
        <v>3</v>
      </c>
      <c r="D130" s="739">
        <v>4</v>
      </c>
      <c r="E130" s="739">
        <v>5</v>
      </c>
      <c r="F130" s="158"/>
      <c r="G130" s="158"/>
    </row>
    <row r="131" spans="1:10" x14ac:dyDescent="0.35">
      <c r="A131" s="159">
        <v>160</v>
      </c>
      <c r="B131" s="160">
        <v>20</v>
      </c>
      <c r="C131" s="159">
        <v>12</v>
      </c>
      <c r="D131" s="159">
        <v>150</v>
      </c>
      <c r="E131" s="159">
        <f t="shared" ref="E131:E136" si="5">B131/C131*D131</f>
        <v>250</v>
      </c>
      <c r="F131" s="158"/>
      <c r="G131" s="158"/>
    </row>
    <row r="132" spans="1:10" x14ac:dyDescent="0.35">
      <c r="A132" s="159">
        <v>250</v>
      </c>
      <c r="B132" s="160">
        <v>32</v>
      </c>
      <c r="C132" s="159">
        <v>12</v>
      </c>
      <c r="D132" s="159">
        <v>179</v>
      </c>
      <c r="E132" s="159">
        <f t="shared" si="5"/>
        <v>477.33333333333331</v>
      </c>
      <c r="F132" s="158"/>
      <c r="G132" s="158"/>
    </row>
    <row r="133" spans="1:10" x14ac:dyDescent="0.35">
      <c r="A133" s="159">
        <v>400</v>
      </c>
      <c r="B133" s="160">
        <v>33</v>
      </c>
      <c r="C133" s="159">
        <v>12</v>
      </c>
      <c r="D133" s="159">
        <v>216</v>
      </c>
      <c r="E133" s="159">
        <f t="shared" si="5"/>
        <v>594</v>
      </c>
      <c r="F133" s="158"/>
      <c r="G133" s="158"/>
    </row>
    <row r="134" spans="1:10" x14ac:dyDescent="0.35">
      <c r="A134" s="159">
        <v>630</v>
      </c>
      <c r="B134" s="160">
        <v>16</v>
      </c>
      <c r="C134" s="159">
        <v>12</v>
      </c>
      <c r="D134" s="159">
        <v>258</v>
      </c>
      <c r="E134" s="159">
        <f t="shared" si="5"/>
        <v>344</v>
      </c>
      <c r="F134" s="158"/>
      <c r="G134" s="158"/>
    </row>
    <row r="135" spans="1:10" x14ac:dyDescent="0.35">
      <c r="A135" s="159">
        <v>1000</v>
      </c>
      <c r="B135" s="160">
        <v>4</v>
      </c>
      <c r="C135" s="159">
        <v>12</v>
      </c>
      <c r="D135" s="159">
        <v>310</v>
      </c>
      <c r="E135" s="159">
        <f>B135/C135*D135</f>
        <v>103.33333333333333</v>
      </c>
      <c r="F135" s="158"/>
      <c r="G135" s="158"/>
    </row>
    <row r="136" spans="1:10" x14ac:dyDescent="0.35">
      <c r="A136" s="159">
        <v>1600</v>
      </c>
      <c r="B136" s="159"/>
      <c r="C136" s="159">
        <v>12</v>
      </c>
      <c r="D136" s="159">
        <v>375</v>
      </c>
      <c r="E136" s="159">
        <f t="shared" si="5"/>
        <v>0</v>
      </c>
      <c r="F136" s="158"/>
      <c r="G136" s="158"/>
    </row>
    <row r="137" spans="1:10" x14ac:dyDescent="0.35">
      <c r="A137" s="159"/>
      <c r="B137" s="159" t="s">
        <v>510</v>
      </c>
      <c r="C137" s="159"/>
      <c r="D137" s="159"/>
      <c r="E137" s="159">
        <f>E131+E132+E133+E134+E135+E136</f>
        <v>1768.6666666666665</v>
      </c>
      <c r="F137" s="158"/>
      <c r="G137" s="158"/>
    </row>
    <row r="138" spans="1:10" x14ac:dyDescent="0.35">
      <c r="A138" s="158"/>
      <c r="B138" s="158"/>
      <c r="C138" s="158"/>
      <c r="D138" s="158"/>
      <c r="E138" s="158"/>
      <c r="F138" s="158"/>
      <c r="G138" s="158"/>
    </row>
    <row r="139" spans="1:10" x14ac:dyDescent="0.35">
      <c r="A139" s="1345" t="s">
        <v>577</v>
      </c>
      <c r="B139" s="1345"/>
      <c r="C139" s="1345"/>
      <c r="D139" s="1345"/>
      <c r="E139" s="1345"/>
      <c r="F139" s="1345"/>
      <c r="G139" s="158"/>
    </row>
    <row r="140" spans="1:10" x14ac:dyDescent="0.35">
      <c r="A140" s="158"/>
      <c r="B140" s="158"/>
      <c r="C140" s="158"/>
      <c r="D140" s="158"/>
      <c r="E140" s="158"/>
      <c r="F140" s="158"/>
      <c r="G140" s="158"/>
    </row>
    <row r="141" spans="1:10" ht="50" x14ac:dyDescent="0.35">
      <c r="A141" s="1342" t="s">
        <v>513</v>
      </c>
      <c r="B141" s="1342"/>
      <c r="C141" s="159" t="s">
        <v>514</v>
      </c>
      <c r="D141" s="159" t="s">
        <v>578</v>
      </c>
      <c r="E141" s="159" t="s">
        <v>516</v>
      </c>
      <c r="F141" s="159" t="s">
        <v>517</v>
      </c>
      <c r="G141" s="159" t="s">
        <v>518</v>
      </c>
    </row>
    <row r="142" spans="1:10" x14ac:dyDescent="0.35">
      <c r="A142" s="1331">
        <v>1</v>
      </c>
      <c r="B142" s="1332"/>
      <c r="C142" s="739">
        <v>2</v>
      </c>
      <c r="D142" s="739">
        <v>3</v>
      </c>
      <c r="E142" s="739">
        <v>4</v>
      </c>
      <c r="F142" s="739">
        <v>5</v>
      </c>
      <c r="G142" s="739">
        <v>6</v>
      </c>
    </row>
    <row r="143" spans="1:10" x14ac:dyDescent="0.35">
      <c r="A143" s="1333" t="s">
        <v>579</v>
      </c>
      <c r="B143" s="1333"/>
      <c r="C143" s="159">
        <v>56.5</v>
      </c>
      <c r="D143" s="159">
        <f>E137</f>
        <v>1768.6666666666665</v>
      </c>
      <c r="E143" s="159">
        <f>D143/100*C143</f>
        <v>999.29666666666651</v>
      </c>
      <c r="F143" s="159">
        <v>130.41</v>
      </c>
      <c r="G143" s="739">
        <f>E143*F143</f>
        <v>130318.27829999998</v>
      </c>
      <c r="J143" s="741"/>
    </row>
    <row r="144" spans="1:10" x14ac:dyDescent="0.35">
      <c r="A144" s="1333" t="s">
        <v>580</v>
      </c>
      <c r="B144" s="1333"/>
      <c r="C144" s="159">
        <v>45.2</v>
      </c>
      <c r="D144" s="159">
        <f>E137</f>
        <v>1768.6666666666665</v>
      </c>
      <c r="E144" s="159">
        <f>D144/100*C144</f>
        <v>799.4373333333333</v>
      </c>
      <c r="F144" s="159">
        <v>36.225000000000001</v>
      </c>
      <c r="G144" s="739">
        <f t="shared" ref="G144:G163" si="6">E144*F144</f>
        <v>28959.617399999999</v>
      </c>
      <c r="J144" s="741"/>
    </row>
    <row r="145" spans="1:10" x14ac:dyDescent="0.35">
      <c r="A145" s="1333" t="s">
        <v>581</v>
      </c>
      <c r="B145" s="1333"/>
      <c r="C145" s="159">
        <v>0.7</v>
      </c>
      <c r="D145" s="159">
        <f>E137</f>
        <v>1768.6666666666665</v>
      </c>
      <c r="E145" s="159">
        <f>D145/100*C145</f>
        <v>12.380666666666665</v>
      </c>
      <c r="F145" s="159">
        <v>64.239000000000004</v>
      </c>
      <c r="G145" s="739">
        <f t="shared" si="6"/>
        <v>795.32164599999987</v>
      </c>
      <c r="J145" s="741"/>
    </row>
    <row r="146" spans="1:10" x14ac:dyDescent="0.35">
      <c r="A146" s="1333" t="s">
        <v>561</v>
      </c>
      <c r="B146" s="1333"/>
      <c r="C146" s="159">
        <v>14.7</v>
      </c>
      <c r="D146" s="159">
        <f>E137</f>
        <v>1768.6666666666665</v>
      </c>
      <c r="E146" s="159">
        <f>D146/100*C146</f>
        <v>259.99399999999997</v>
      </c>
      <c r="F146" s="164">
        <v>99.836100000000002</v>
      </c>
      <c r="G146" s="739">
        <f t="shared" si="6"/>
        <v>25956.786983399998</v>
      </c>
      <c r="J146" s="741"/>
    </row>
    <row r="147" spans="1:10" x14ac:dyDescent="0.35">
      <c r="A147" s="1343" t="s">
        <v>582</v>
      </c>
      <c r="B147" s="1344"/>
      <c r="C147" s="159">
        <v>16.5</v>
      </c>
      <c r="D147" s="159">
        <f>E137</f>
        <v>1768.6666666666665</v>
      </c>
      <c r="E147" s="159">
        <f t="shared" ref="E147:E165" si="7">D147/100*C147</f>
        <v>291.82999999999993</v>
      </c>
      <c r="F147" s="159">
        <v>200.44499999999999</v>
      </c>
      <c r="G147" s="739">
        <f t="shared" si="6"/>
        <v>58495.864349999982</v>
      </c>
      <c r="J147" s="741"/>
    </row>
    <row r="148" spans="1:10" x14ac:dyDescent="0.35">
      <c r="A148" s="1333" t="s">
        <v>583</v>
      </c>
      <c r="B148" s="1333"/>
      <c r="C148" s="159">
        <v>1.6</v>
      </c>
      <c r="D148" s="159">
        <f>E137</f>
        <v>1768.6666666666665</v>
      </c>
      <c r="E148" s="159">
        <f t="shared" si="7"/>
        <v>28.298666666666662</v>
      </c>
      <c r="F148" s="159">
        <v>200.44499999999999</v>
      </c>
      <c r="G148" s="739">
        <f t="shared" si="6"/>
        <v>5672.3262399999985</v>
      </c>
      <c r="J148" s="741"/>
    </row>
    <row r="149" spans="1:10" x14ac:dyDescent="0.35">
      <c r="A149" s="1343" t="s">
        <v>584</v>
      </c>
      <c r="B149" s="1344"/>
      <c r="C149" s="159">
        <v>0.1</v>
      </c>
      <c r="D149" s="159">
        <f>E137</f>
        <v>1768.6666666666665</v>
      </c>
      <c r="E149" s="159">
        <f t="shared" si="7"/>
        <v>1.7686666666666664</v>
      </c>
      <c r="F149" s="159">
        <v>552.31049999999993</v>
      </c>
      <c r="G149" s="739">
        <f t="shared" si="6"/>
        <v>976.85317099999975</v>
      </c>
      <c r="J149" s="741"/>
    </row>
    <row r="150" spans="1:10" x14ac:dyDescent="0.35">
      <c r="A150" s="1343" t="s">
        <v>585</v>
      </c>
      <c r="B150" s="1344"/>
      <c r="C150" s="159">
        <v>4.3</v>
      </c>
      <c r="D150" s="159">
        <f>E137</f>
        <v>1768.6666666666665</v>
      </c>
      <c r="E150" s="159">
        <f t="shared" si="7"/>
        <v>76.052666666666653</v>
      </c>
      <c r="F150" s="159">
        <v>40.692750000000004</v>
      </c>
      <c r="G150" s="739">
        <f t="shared" si="6"/>
        <v>3094.7921514999998</v>
      </c>
      <c r="J150" s="741"/>
    </row>
    <row r="151" spans="1:10" x14ac:dyDescent="0.35">
      <c r="A151" s="1343" t="s">
        <v>586</v>
      </c>
      <c r="B151" s="1344"/>
      <c r="C151" s="159">
        <v>327.9</v>
      </c>
      <c r="D151" s="159">
        <f>E137</f>
        <v>1768.6666666666665</v>
      </c>
      <c r="E151" s="159">
        <f t="shared" si="7"/>
        <v>5799.4579999999987</v>
      </c>
      <c r="F151" s="159">
        <v>95.996250000000003</v>
      </c>
      <c r="G151" s="739">
        <f t="shared" si="6"/>
        <v>556726.22003249987</v>
      </c>
      <c r="J151" s="741"/>
    </row>
    <row r="152" spans="1:10" x14ac:dyDescent="0.35">
      <c r="A152" s="1343" t="s">
        <v>564</v>
      </c>
      <c r="B152" s="1344"/>
      <c r="C152" s="159">
        <v>37.299999999999997</v>
      </c>
      <c r="D152" s="159">
        <f>E137</f>
        <v>1768.6666666666665</v>
      </c>
      <c r="E152" s="159">
        <f t="shared" si="7"/>
        <v>659.71266666666656</v>
      </c>
      <c r="F152" s="159">
        <v>127.51199999999999</v>
      </c>
      <c r="G152" s="739">
        <f t="shared" si="6"/>
        <v>84121.281551999971</v>
      </c>
      <c r="J152" s="741"/>
    </row>
    <row r="153" spans="1:10" x14ac:dyDescent="0.35">
      <c r="A153" s="1343" t="s">
        <v>587</v>
      </c>
      <c r="B153" s="1344"/>
      <c r="C153" s="159">
        <v>2.2999999999999998</v>
      </c>
      <c r="D153" s="159">
        <f>E131</f>
        <v>250</v>
      </c>
      <c r="E153" s="159">
        <f t="shared" si="7"/>
        <v>5.75</v>
      </c>
      <c r="F153" s="159">
        <v>32.964750000000002</v>
      </c>
      <c r="G153" s="739">
        <f t="shared" si="6"/>
        <v>189.5473125</v>
      </c>
      <c r="J153" s="741"/>
    </row>
    <row r="154" spans="1:10" x14ac:dyDescent="0.35">
      <c r="A154" s="1343" t="s">
        <v>588</v>
      </c>
      <c r="B154" s="1344"/>
      <c r="C154" s="159">
        <v>4.8</v>
      </c>
      <c r="D154" s="159">
        <f>E137</f>
        <v>1768.6666666666665</v>
      </c>
      <c r="E154" s="159">
        <f t="shared" si="7"/>
        <v>84.895999999999987</v>
      </c>
      <c r="F154" s="159">
        <v>212.39924999999999</v>
      </c>
      <c r="G154" s="739">
        <f t="shared" si="6"/>
        <v>18031.846727999997</v>
      </c>
      <c r="J154" s="741"/>
    </row>
    <row r="155" spans="1:10" x14ac:dyDescent="0.35">
      <c r="A155" s="1343" t="s">
        <v>589</v>
      </c>
      <c r="B155" s="1344"/>
      <c r="C155" s="159">
        <v>287.2</v>
      </c>
      <c r="D155" s="159">
        <f>D154</f>
        <v>1768.6666666666665</v>
      </c>
      <c r="E155" s="159">
        <f t="shared" si="7"/>
        <v>5079.6106666666656</v>
      </c>
      <c r="F155" s="159">
        <v>1.9319999999999999</v>
      </c>
      <c r="G155" s="739">
        <f t="shared" si="6"/>
        <v>9813.8078079999977</v>
      </c>
      <c r="J155" s="741"/>
    </row>
    <row r="156" spans="1:10" x14ac:dyDescent="0.35">
      <c r="A156" s="1343" t="s">
        <v>590</v>
      </c>
      <c r="B156" s="1344"/>
      <c r="C156" s="159">
        <v>205.8</v>
      </c>
      <c r="D156" s="159">
        <f>D154</f>
        <v>1768.6666666666665</v>
      </c>
      <c r="E156" s="159">
        <f t="shared" si="7"/>
        <v>3639.9159999999997</v>
      </c>
      <c r="F156" s="159">
        <v>1.6904999999999999</v>
      </c>
      <c r="G156" s="739">
        <f t="shared" si="6"/>
        <v>6153.2779979999996</v>
      </c>
      <c r="J156" s="741"/>
    </row>
    <row r="157" spans="1:10" x14ac:dyDescent="0.35">
      <c r="A157" s="1343" t="s">
        <v>565</v>
      </c>
      <c r="B157" s="1344"/>
      <c r="C157" s="159">
        <v>31.7</v>
      </c>
      <c r="D157" s="159">
        <f>D154</f>
        <v>1768.6666666666665</v>
      </c>
      <c r="E157" s="159">
        <f t="shared" si="7"/>
        <v>560.6673333333332</v>
      </c>
      <c r="F157" s="159">
        <v>254.90324999999999</v>
      </c>
      <c r="G157" s="739">
        <f t="shared" si="6"/>
        <v>142915.92543549996</v>
      </c>
      <c r="J157" s="741"/>
    </row>
    <row r="158" spans="1:10" x14ac:dyDescent="0.35">
      <c r="A158" s="1343" t="s">
        <v>591</v>
      </c>
      <c r="B158" s="1344"/>
      <c r="C158" s="159">
        <v>0.6</v>
      </c>
      <c r="D158" s="159">
        <f>D154</f>
        <v>1768.6666666666665</v>
      </c>
      <c r="E158" s="159">
        <f t="shared" si="7"/>
        <v>10.611999999999998</v>
      </c>
      <c r="F158" s="159">
        <v>38.64</v>
      </c>
      <c r="G158" s="739">
        <f t="shared" si="6"/>
        <v>410.04767999999996</v>
      </c>
      <c r="J158" s="741"/>
    </row>
    <row r="159" spans="1:10" x14ac:dyDescent="0.35">
      <c r="A159" s="1343" t="s">
        <v>568</v>
      </c>
      <c r="B159" s="1344"/>
      <c r="C159" s="159">
        <v>22.6</v>
      </c>
      <c r="D159" s="159">
        <f>D154</f>
        <v>1768.6666666666665</v>
      </c>
      <c r="E159" s="159">
        <f t="shared" si="7"/>
        <v>399.71866666666665</v>
      </c>
      <c r="F159" s="159">
        <v>140.07</v>
      </c>
      <c r="G159" s="739">
        <f t="shared" si="6"/>
        <v>55988.593639999992</v>
      </c>
      <c r="J159" s="741"/>
    </row>
    <row r="160" spans="1:10" x14ac:dyDescent="0.35">
      <c r="A160" s="1343" t="s">
        <v>592</v>
      </c>
      <c r="B160" s="1344"/>
      <c r="C160" s="159">
        <v>5.7</v>
      </c>
      <c r="D160" s="159">
        <f>D159</f>
        <v>1768.6666666666665</v>
      </c>
      <c r="E160" s="159">
        <f t="shared" si="7"/>
        <v>100.81399999999999</v>
      </c>
      <c r="F160" s="159">
        <v>140.07</v>
      </c>
      <c r="G160" s="739">
        <f>E160*F160</f>
        <v>14121.016979999999</v>
      </c>
      <c r="J160" s="741"/>
    </row>
    <row r="161" spans="1:10" x14ac:dyDescent="0.35">
      <c r="A161" s="1343" t="s">
        <v>571</v>
      </c>
      <c r="B161" s="1344"/>
      <c r="C161" s="159">
        <v>3.4</v>
      </c>
      <c r="D161" s="159">
        <f>D159</f>
        <v>1768.6666666666665</v>
      </c>
      <c r="E161" s="159">
        <f t="shared" si="7"/>
        <v>60.134666666666654</v>
      </c>
      <c r="F161" s="159">
        <v>38.64</v>
      </c>
      <c r="G161" s="739">
        <f>E161*F161</f>
        <v>2323.6035199999997</v>
      </c>
      <c r="J161" s="741"/>
    </row>
    <row r="162" spans="1:10" x14ac:dyDescent="0.35">
      <c r="A162" s="1343" t="s">
        <v>593</v>
      </c>
      <c r="B162" s="1344"/>
      <c r="C162" s="159">
        <v>3.6</v>
      </c>
      <c r="D162" s="159">
        <f>D159</f>
        <v>1768.6666666666665</v>
      </c>
      <c r="E162" s="159">
        <f t="shared" si="7"/>
        <v>63.67199999999999</v>
      </c>
      <c r="F162" s="159">
        <v>42.503999999999998</v>
      </c>
      <c r="G162" s="739">
        <f t="shared" si="6"/>
        <v>2706.3146879999995</v>
      </c>
      <c r="J162" s="741"/>
    </row>
    <row r="163" spans="1:10" x14ac:dyDescent="0.35">
      <c r="A163" s="1343" t="s">
        <v>594</v>
      </c>
      <c r="B163" s="1344"/>
      <c r="C163" s="159">
        <v>0.9</v>
      </c>
      <c r="D163" s="159">
        <f>D159</f>
        <v>1768.6666666666665</v>
      </c>
      <c r="E163" s="159">
        <f t="shared" si="7"/>
        <v>15.917999999999997</v>
      </c>
      <c r="F163" s="159">
        <v>43.59075</v>
      </c>
      <c r="G163" s="739">
        <f t="shared" si="6"/>
        <v>693.87755849999985</v>
      </c>
      <c r="J163" s="741"/>
    </row>
    <row r="164" spans="1:10" x14ac:dyDescent="0.35">
      <c r="A164" s="1343" t="s">
        <v>595</v>
      </c>
      <c r="B164" s="1344"/>
      <c r="C164" s="159">
        <v>9</v>
      </c>
      <c r="D164" s="159">
        <f>D159</f>
        <v>1768.6666666666665</v>
      </c>
      <c r="E164" s="159">
        <f t="shared" si="7"/>
        <v>159.17999999999998</v>
      </c>
      <c r="F164" s="159">
        <v>35.379750000000001</v>
      </c>
      <c r="G164" s="739">
        <f>E164*F164</f>
        <v>5631.7486049999998</v>
      </c>
      <c r="J164" s="741"/>
    </row>
    <row r="165" spans="1:10" x14ac:dyDescent="0.35">
      <c r="A165" s="1343" t="s">
        <v>570</v>
      </c>
      <c r="B165" s="1344"/>
      <c r="C165" s="157">
        <v>162.5</v>
      </c>
      <c r="D165" s="157">
        <f>D159</f>
        <v>1768.6666666666665</v>
      </c>
      <c r="E165" s="157">
        <f t="shared" si="7"/>
        <v>2874.083333333333</v>
      </c>
      <c r="F165" s="157">
        <v>107.4675</v>
      </c>
      <c r="G165" s="208">
        <f>E165*F165</f>
        <v>308870.55062499997</v>
      </c>
      <c r="J165" s="741"/>
    </row>
    <row r="166" spans="1:10" x14ac:dyDescent="0.35">
      <c r="A166" s="1343" t="s">
        <v>596</v>
      </c>
      <c r="B166" s="1344"/>
      <c r="C166" s="157">
        <v>80</v>
      </c>
      <c r="D166" s="157"/>
      <c r="E166" s="157"/>
      <c r="F166" s="157">
        <v>311.53500000000003</v>
      </c>
      <c r="G166" s="208">
        <f>C166*F166</f>
        <v>24922.800000000003</v>
      </c>
      <c r="J166" s="741"/>
    </row>
    <row r="167" spans="1:10" x14ac:dyDescent="0.35">
      <c r="A167" s="1343" t="s">
        <v>597</v>
      </c>
      <c r="B167" s="1344"/>
      <c r="C167" s="157">
        <v>25</v>
      </c>
      <c r="D167" s="157"/>
      <c r="E167" s="157"/>
      <c r="F167" s="157">
        <v>3018.75</v>
      </c>
      <c r="G167" s="208">
        <f>C167*F167</f>
        <v>75468.75</v>
      </c>
      <c r="J167" s="741"/>
    </row>
    <row r="168" spans="1:10" x14ac:dyDescent="0.35">
      <c r="A168" s="1343" t="s">
        <v>598</v>
      </c>
      <c r="B168" s="1344"/>
      <c r="C168" s="157">
        <v>25</v>
      </c>
      <c r="D168" s="157"/>
      <c r="E168" s="157"/>
      <c r="F168" s="157">
        <v>8090.2499999999991</v>
      </c>
      <c r="G168" s="208">
        <f>C168*F168</f>
        <v>202256.24999999997</v>
      </c>
      <c r="J168" s="741"/>
    </row>
    <row r="169" spans="1:10" x14ac:dyDescent="0.35">
      <c r="A169" s="1343" t="s">
        <v>573</v>
      </c>
      <c r="B169" s="1344"/>
      <c r="C169" s="157">
        <v>0.7</v>
      </c>
      <c r="D169" s="157">
        <f>E137</f>
        <v>1768.6666666666665</v>
      </c>
      <c r="E169" s="157">
        <f>D169/100*C169</f>
        <v>12.380666666666665</v>
      </c>
      <c r="F169" s="157">
        <v>54.337499999999991</v>
      </c>
      <c r="G169" s="208">
        <f>E169*F169</f>
        <v>672.73447499999975</v>
      </c>
      <c r="J169" s="741"/>
    </row>
    <row r="170" spans="1:10" x14ac:dyDescent="0.35">
      <c r="A170" s="1333" t="s">
        <v>599</v>
      </c>
      <c r="B170" s="1333"/>
      <c r="C170" s="159"/>
      <c r="D170" s="159"/>
      <c r="E170" s="159"/>
      <c r="F170" s="159"/>
      <c r="G170" s="742">
        <f>SUM(G143:G169)</f>
        <v>1766288.0348798998</v>
      </c>
    </row>
    <row r="171" spans="1:10" x14ac:dyDescent="0.35">
      <c r="A171" s="1334"/>
      <c r="B171" s="1334"/>
      <c r="C171" s="161"/>
      <c r="D171" s="161"/>
      <c r="E171" s="161"/>
      <c r="F171" s="161"/>
      <c r="G171" s="161"/>
    </row>
    <row r="172" spans="1:10" x14ac:dyDescent="0.35">
      <c r="A172" s="158"/>
      <c r="B172" s="158"/>
      <c r="C172" s="158"/>
      <c r="D172" s="158"/>
      <c r="E172" s="158"/>
      <c r="F172" s="158"/>
      <c r="G172" s="158"/>
    </row>
    <row r="173" spans="1:10" x14ac:dyDescent="0.35">
      <c r="A173" s="158"/>
      <c r="B173" s="158"/>
      <c r="C173" s="158"/>
      <c r="D173" s="158"/>
      <c r="E173" s="158"/>
      <c r="F173" s="158"/>
      <c r="G173" s="158"/>
    </row>
    <row r="174" spans="1:10" x14ac:dyDescent="0.35">
      <c r="A174" s="158"/>
      <c r="B174" s="158"/>
      <c r="C174" s="158"/>
      <c r="D174" s="158"/>
      <c r="E174" s="158"/>
      <c r="F174" s="158"/>
      <c r="G174" s="158"/>
    </row>
    <row r="175" spans="1:10" ht="15.5" x14ac:dyDescent="0.35">
      <c r="A175" s="1335" t="s">
        <v>600</v>
      </c>
      <c r="B175" s="1335"/>
      <c r="C175" s="1335"/>
      <c r="D175" s="1335"/>
      <c r="E175" s="1335"/>
      <c r="F175" s="1335"/>
      <c r="G175" s="1335"/>
    </row>
    <row r="176" spans="1:10" x14ac:dyDescent="0.35">
      <c r="A176" s="158"/>
      <c r="B176" s="158"/>
      <c r="C176" s="158"/>
      <c r="D176" s="158"/>
      <c r="E176" s="158"/>
      <c r="F176" s="158"/>
      <c r="G176" s="158"/>
    </row>
    <row r="177" spans="1:7" x14ac:dyDescent="0.35">
      <c r="A177" s="1336"/>
      <c r="B177" s="1337"/>
      <c r="C177" s="1337"/>
      <c r="D177" s="1337"/>
      <c r="E177" s="1338"/>
      <c r="F177" s="1342" t="s">
        <v>1345</v>
      </c>
      <c r="G177" s="1342"/>
    </row>
    <row r="178" spans="1:7" x14ac:dyDescent="0.35">
      <c r="A178" s="1339"/>
      <c r="B178" s="1340"/>
      <c r="C178" s="1340"/>
      <c r="D178" s="1340"/>
      <c r="E178" s="1341"/>
      <c r="F178" s="1326" t="s">
        <v>601</v>
      </c>
      <c r="G178" s="1328"/>
    </row>
    <row r="179" spans="1:7" x14ac:dyDescent="0.35">
      <c r="A179" s="1326" t="s">
        <v>602</v>
      </c>
      <c r="B179" s="1327"/>
      <c r="C179" s="1327"/>
      <c r="D179" s="1327"/>
      <c r="E179" s="1328"/>
      <c r="F179" s="1329">
        <f>F180+F181</f>
        <v>3476603.9385071266</v>
      </c>
      <c r="G179" s="1330"/>
    </row>
    <row r="180" spans="1:7" x14ac:dyDescent="0.35">
      <c r="A180" s="1326" t="s">
        <v>603</v>
      </c>
      <c r="B180" s="1327"/>
      <c r="C180" s="1327"/>
      <c r="D180" s="1327"/>
      <c r="E180" s="1328"/>
      <c r="F180" s="1331">
        <f>G170+G122+G88+G62+G29</f>
        <v>2575262.1766719455</v>
      </c>
      <c r="G180" s="1332"/>
    </row>
    <row r="181" spans="1:7" ht="30" x14ac:dyDescent="0.35">
      <c r="A181" s="159" t="s">
        <v>604</v>
      </c>
      <c r="B181" s="1326" t="s">
        <v>605</v>
      </c>
      <c r="C181" s="1327"/>
      <c r="D181" s="1327"/>
      <c r="E181" s="1328"/>
      <c r="F181" s="1331">
        <f>F180*35%</f>
        <v>901341.76183518092</v>
      </c>
      <c r="G181" s="1332"/>
    </row>
    <row r="182" spans="1:7" ht="15" x14ac:dyDescent="0.35">
      <c r="A182" s="158" t="s">
        <v>606</v>
      </c>
      <c r="B182" s="222" t="s">
        <v>1272</v>
      </c>
      <c r="C182" s="223">
        <f>F179</f>
        <v>3476603.9385071266</v>
      </c>
      <c r="D182" s="159" t="s">
        <v>831</v>
      </c>
      <c r="E182" s="158"/>
      <c r="F182" s="158"/>
      <c r="G182" s="158"/>
    </row>
    <row r="183" spans="1:7" ht="15" x14ac:dyDescent="0.35">
      <c r="A183" s="692"/>
      <c r="B183" s="222" t="s">
        <v>1309</v>
      </c>
      <c r="C183" s="223">
        <f>C182*1.05</f>
        <v>3650434.1354324832</v>
      </c>
      <c r="D183" s="159" t="s">
        <v>831</v>
      </c>
      <c r="E183" s="692"/>
      <c r="F183" s="692"/>
      <c r="G183" s="692"/>
    </row>
    <row r="184" spans="1:7" ht="15" x14ac:dyDescent="0.35">
      <c r="A184" s="692"/>
      <c r="B184" s="222" t="s">
        <v>1310</v>
      </c>
      <c r="C184" s="223">
        <f t="shared" ref="C184:C186" si="8">C183*1.05</f>
        <v>3832955.8422041074</v>
      </c>
      <c r="D184" s="159" t="s">
        <v>831</v>
      </c>
      <c r="E184" s="692"/>
      <c r="F184" s="692"/>
      <c r="G184" s="692"/>
    </row>
    <row r="185" spans="1:7" ht="15" x14ac:dyDescent="0.35">
      <c r="A185" s="692"/>
      <c r="B185" s="222" t="s">
        <v>1311</v>
      </c>
      <c r="C185" s="223">
        <f t="shared" si="8"/>
        <v>4024603.6343143131</v>
      </c>
      <c r="D185" s="159" t="s">
        <v>831</v>
      </c>
      <c r="E185" s="692"/>
      <c r="F185" s="692"/>
      <c r="G185" s="692"/>
    </row>
    <row r="186" spans="1:7" ht="15" x14ac:dyDescent="0.35">
      <c r="A186" s="692"/>
      <c r="B186" s="222" t="s">
        <v>1312</v>
      </c>
      <c r="C186" s="223">
        <f t="shared" si="8"/>
        <v>4225833.8160300292</v>
      </c>
      <c r="D186" s="159" t="s">
        <v>831</v>
      </c>
      <c r="E186" s="692"/>
      <c r="F186" s="692"/>
      <c r="G186" s="692"/>
    </row>
    <row r="189" spans="1:7" x14ac:dyDescent="0.35">
      <c r="A189" s="1350" t="s">
        <v>607</v>
      </c>
      <c r="B189" s="1350"/>
    </row>
    <row r="190" spans="1:7" x14ac:dyDescent="0.35">
      <c r="A190" s="165" t="s">
        <v>608</v>
      </c>
      <c r="B190" s="165"/>
    </row>
  </sheetData>
  <mergeCells count="122">
    <mergeCell ref="A2:F2"/>
    <mergeCell ref="A189:B189"/>
    <mergeCell ref="A4:F5"/>
    <mergeCell ref="A6:F6"/>
    <mergeCell ref="A15:G15"/>
    <mergeCell ref="A17:F17"/>
    <mergeCell ref="A19:B19"/>
    <mergeCell ref="A20:B20"/>
    <mergeCell ref="A40:F40"/>
    <mergeCell ref="A49:G49"/>
    <mergeCell ref="A51:F51"/>
    <mergeCell ref="A27:B27"/>
    <mergeCell ref="C27:D27"/>
    <mergeCell ref="A28:B28"/>
    <mergeCell ref="A21:B21"/>
    <mergeCell ref="A22:B22"/>
    <mergeCell ref="A23:B23"/>
    <mergeCell ref="A24:B24"/>
    <mergeCell ref="A25:B25"/>
    <mergeCell ref="A26:B26"/>
    <mergeCell ref="A53:B53"/>
    <mergeCell ref="A54:B54"/>
    <mergeCell ref="A55:B55"/>
    <mergeCell ref="A29:B29"/>
    <mergeCell ref="A36:B36"/>
    <mergeCell ref="A38:G38"/>
    <mergeCell ref="C61:D61"/>
    <mergeCell ref="A62:B62"/>
    <mergeCell ref="A63:B63"/>
    <mergeCell ref="A65:G65"/>
    <mergeCell ref="A67:F67"/>
    <mergeCell ref="A77:F77"/>
    <mergeCell ref="A56:B56"/>
    <mergeCell ref="A57:B57"/>
    <mergeCell ref="A58:B58"/>
    <mergeCell ref="A59:B59"/>
    <mergeCell ref="A60:B60"/>
    <mergeCell ref="A61:B61"/>
    <mergeCell ref="A85:B85"/>
    <mergeCell ref="A86:B86"/>
    <mergeCell ref="A87:B87"/>
    <mergeCell ref="A88:B88"/>
    <mergeCell ref="A89:B89"/>
    <mergeCell ref="A91:G91"/>
    <mergeCell ref="A79:B79"/>
    <mergeCell ref="A80:B80"/>
    <mergeCell ref="A81:B81"/>
    <mergeCell ref="A82:B82"/>
    <mergeCell ref="A83:B83"/>
    <mergeCell ref="A84:B84"/>
    <mergeCell ref="A100:B100"/>
    <mergeCell ref="A101:B101"/>
    <mergeCell ref="A102:B102"/>
    <mergeCell ref="A104:F104"/>
    <mergeCell ref="A106:B106"/>
    <mergeCell ref="A107:B107"/>
    <mergeCell ref="A93:F93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39:F139"/>
    <mergeCell ref="A141:B141"/>
    <mergeCell ref="A142:B142"/>
    <mergeCell ref="A143:B143"/>
    <mergeCell ref="A144:B144"/>
    <mergeCell ref="A145:B145"/>
    <mergeCell ref="A120:B120"/>
    <mergeCell ref="A121:B121"/>
    <mergeCell ref="A122:B122"/>
    <mergeCell ref="A123:B123"/>
    <mergeCell ref="A125:G125"/>
    <mergeCell ref="A127:F127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9:E179"/>
    <mergeCell ref="F179:G179"/>
    <mergeCell ref="A180:E180"/>
    <mergeCell ref="F180:G180"/>
    <mergeCell ref="B181:E181"/>
    <mergeCell ref="F181:G181"/>
    <mergeCell ref="A170:B170"/>
    <mergeCell ref="A171:B171"/>
    <mergeCell ref="A175:G175"/>
    <mergeCell ref="A177:E178"/>
    <mergeCell ref="F177:G177"/>
    <mergeCell ref="F178:G17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64" workbookViewId="0">
      <selection activeCell="I4" sqref="I4"/>
    </sheetView>
  </sheetViews>
  <sheetFormatPr defaultRowHeight="14.5" x14ac:dyDescent="0.35"/>
  <cols>
    <col min="1" max="1" width="6.54296875" customWidth="1"/>
    <col min="9" max="9" width="9.453125" bestFit="1" customWidth="1"/>
  </cols>
  <sheetData>
    <row r="1" spans="1:9" x14ac:dyDescent="0.35">
      <c r="A1" s="1373" t="s">
        <v>1346</v>
      </c>
      <c r="B1" s="1374"/>
      <c r="C1" s="1374"/>
      <c r="D1" s="1374"/>
      <c r="E1" s="1374"/>
      <c r="F1" s="1374"/>
      <c r="G1" s="1374"/>
      <c r="H1" s="1374"/>
      <c r="I1" s="1374"/>
    </row>
    <row r="2" spans="1:9" ht="15" thickBot="1" x14ac:dyDescent="0.4">
      <c r="A2" s="1375"/>
      <c r="B2" s="1376"/>
      <c r="C2" s="1376"/>
      <c r="D2" s="1376"/>
      <c r="E2" s="1376"/>
      <c r="F2" s="1376"/>
      <c r="G2" s="1376"/>
      <c r="H2" s="1376"/>
      <c r="I2" s="1376"/>
    </row>
    <row r="3" spans="1:9" ht="22" thickBot="1" x14ac:dyDescent="0.4">
      <c r="A3" s="377" t="s">
        <v>609</v>
      </c>
      <c r="B3" s="1377" t="s">
        <v>610</v>
      </c>
      <c r="C3" s="1377"/>
      <c r="D3" s="1377"/>
      <c r="E3" s="378" t="s">
        <v>51</v>
      </c>
      <c r="F3" s="1378" t="s">
        <v>611</v>
      </c>
      <c r="G3" s="1378"/>
      <c r="H3" s="379" t="s">
        <v>741</v>
      </c>
      <c r="I3" s="380" t="s">
        <v>1350</v>
      </c>
    </row>
    <row r="4" spans="1:9" x14ac:dyDescent="0.35">
      <c r="A4" s="293" t="s">
        <v>26</v>
      </c>
      <c r="B4" s="1379" t="s">
        <v>612</v>
      </c>
      <c r="C4" s="1379"/>
      <c r="D4" s="1379"/>
      <c r="E4" s="296" t="s">
        <v>613</v>
      </c>
      <c r="F4" s="1380">
        <v>1</v>
      </c>
      <c r="G4" s="1380"/>
      <c r="H4" s="529">
        <v>3860.895</v>
      </c>
      <c r="I4" s="381">
        <f>F4*H4</f>
        <v>3860.895</v>
      </c>
    </row>
    <row r="5" spans="1:9" x14ac:dyDescent="0.35">
      <c r="A5" s="382" t="s">
        <v>28</v>
      </c>
      <c r="B5" s="1383" t="s">
        <v>614</v>
      </c>
      <c r="C5" s="1384"/>
      <c r="D5" s="1385"/>
      <c r="E5" s="39" t="s">
        <v>613</v>
      </c>
      <c r="F5" s="1381">
        <v>1</v>
      </c>
      <c r="G5" s="1382"/>
      <c r="H5" s="530">
        <v>1332.6314999999997</v>
      </c>
      <c r="I5" s="381">
        <f t="shared" ref="I5:I34" si="0">F5*H5</f>
        <v>1332.6314999999997</v>
      </c>
    </row>
    <row r="6" spans="1:9" x14ac:dyDescent="0.35">
      <c r="A6" s="169" t="s">
        <v>30</v>
      </c>
      <c r="B6" s="1362" t="s">
        <v>615</v>
      </c>
      <c r="C6" s="1362"/>
      <c r="D6" s="1362"/>
      <c r="E6" s="170" t="s">
        <v>613</v>
      </c>
      <c r="F6" s="1363">
        <v>2</v>
      </c>
      <c r="G6" s="1363"/>
      <c r="H6" s="531">
        <v>1992.7199999999998</v>
      </c>
      <c r="I6" s="168">
        <f t="shared" si="0"/>
        <v>3985.4399999999996</v>
      </c>
    </row>
    <row r="7" spans="1:9" x14ac:dyDescent="0.35">
      <c r="A7" s="169" t="s">
        <v>206</v>
      </c>
      <c r="B7" s="1353" t="s">
        <v>616</v>
      </c>
      <c r="C7" s="1353"/>
      <c r="D7" s="1353"/>
      <c r="E7" s="170" t="s">
        <v>613</v>
      </c>
      <c r="F7" s="1363">
        <v>1</v>
      </c>
      <c r="G7" s="1363"/>
      <c r="H7" s="531">
        <v>846.90599999999995</v>
      </c>
      <c r="I7" s="168">
        <f t="shared" si="0"/>
        <v>846.90599999999995</v>
      </c>
    </row>
    <row r="8" spans="1:9" x14ac:dyDescent="0.35">
      <c r="A8" s="169" t="s">
        <v>278</v>
      </c>
      <c r="B8" s="1362" t="s">
        <v>617</v>
      </c>
      <c r="C8" s="1362"/>
      <c r="D8" s="1362"/>
      <c r="E8" s="170" t="s">
        <v>613</v>
      </c>
      <c r="F8" s="1363">
        <v>4</v>
      </c>
      <c r="G8" s="1363"/>
      <c r="H8" s="531">
        <v>2490.8999999999996</v>
      </c>
      <c r="I8" s="168">
        <f t="shared" si="0"/>
        <v>9963.5999999999985</v>
      </c>
    </row>
    <row r="9" spans="1:9" x14ac:dyDescent="0.35">
      <c r="A9" s="169"/>
      <c r="B9" s="1362" t="s">
        <v>738</v>
      </c>
      <c r="C9" s="1362"/>
      <c r="D9" s="1362"/>
      <c r="E9" s="170" t="s">
        <v>613</v>
      </c>
      <c r="F9" s="1354">
        <v>6</v>
      </c>
      <c r="G9" s="1355"/>
      <c r="H9" s="531">
        <v>2092.3559999999998</v>
      </c>
      <c r="I9" s="168">
        <f t="shared" si="0"/>
        <v>12554.135999999999</v>
      </c>
    </row>
    <row r="10" spans="1:9" x14ac:dyDescent="0.35">
      <c r="A10" s="169" t="s">
        <v>280</v>
      </c>
      <c r="B10" s="1362" t="s">
        <v>618</v>
      </c>
      <c r="C10" s="1362"/>
      <c r="D10" s="1362"/>
      <c r="E10" s="170" t="s">
        <v>613</v>
      </c>
      <c r="F10" s="1363">
        <v>1</v>
      </c>
      <c r="G10" s="1363"/>
      <c r="H10" s="531">
        <v>3736.35</v>
      </c>
      <c r="I10" s="168">
        <f t="shared" si="0"/>
        <v>3736.35</v>
      </c>
    </row>
    <row r="11" spans="1:9" x14ac:dyDescent="0.35">
      <c r="A11" s="169" t="s">
        <v>32</v>
      </c>
      <c r="B11" s="1362" t="s">
        <v>619</v>
      </c>
      <c r="C11" s="1362"/>
      <c r="D11" s="1362"/>
      <c r="E11" s="170" t="s">
        <v>613</v>
      </c>
      <c r="F11" s="1363">
        <v>20</v>
      </c>
      <c r="G11" s="1363"/>
      <c r="H11" s="531">
        <v>249.08999999999997</v>
      </c>
      <c r="I11" s="168">
        <f t="shared" si="0"/>
        <v>4981.7999999999993</v>
      </c>
    </row>
    <row r="12" spans="1:9" x14ac:dyDescent="0.35">
      <c r="A12" s="169" t="s">
        <v>282</v>
      </c>
      <c r="B12" s="1362" t="s">
        <v>620</v>
      </c>
      <c r="C12" s="1362"/>
      <c r="D12" s="1362"/>
      <c r="E12" s="170" t="s">
        <v>613</v>
      </c>
      <c r="F12" s="1363">
        <v>1</v>
      </c>
      <c r="G12" s="1363"/>
      <c r="H12" s="531">
        <v>20549.924999999999</v>
      </c>
      <c r="I12" s="168">
        <f t="shared" si="0"/>
        <v>20549.924999999999</v>
      </c>
    </row>
    <row r="13" spans="1:9" ht="22.5" customHeight="1" x14ac:dyDescent="0.35">
      <c r="A13" s="169" t="s">
        <v>285</v>
      </c>
      <c r="B13" s="1362" t="s">
        <v>621</v>
      </c>
      <c r="C13" s="1362"/>
      <c r="D13" s="1362"/>
      <c r="E13" s="170" t="s">
        <v>613</v>
      </c>
      <c r="F13" s="1363">
        <v>50</v>
      </c>
      <c r="G13" s="1363"/>
      <c r="H13" s="531">
        <v>24.908999999999999</v>
      </c>
      <c r="I13" s="168">
        <f t="shared" si="0"/>
        <v>1245.45</v>
      </c>
    </row>
    <row r="14" spans="1:9" x14ac:dyDescent="0.35">
      <c r="A14" s="169" t="s">
        <v>286</v>
      </c>
      <c r="B14" s="1362" t="s">
        <v>622</v>
      </c>
      <c r="C14" s="1362"/>
      <c r="D14" s="1362"/>
      <c r="E14" s="170" t="s">
        <v>613</v>
      </c>
      <c r="F14" s="1363">
        <v>15</v>
      </c>
      <c r="G14" s="1363"/>
      <c r="H14" s="531">
        <v>249.08999999999997</v>
      </c>
      <c r="I14" s="168">
        <f t="shared" si="0"/>
        <v>3736.3499999999995</v>
      </c>
    </row>
    <row r="15" spans="1:9" x14ac:dyDescent="0.35">
      <c r="A15" s="169" t="s">
        <v>287</v>
      </c>
      <c r="B15" s="1362" t="s">
        <v>623</v>
      </c>
      <c r="C15" s="1362"/>
      <c r="D15" s="1362"/>
      <c r="E15" s="170" t="s">
        <v>613</v>
      </c>
      <c r="F15" s="1363">
        <v>15</v>
      </c>
      <c r="G15" s="1363"/>
      <c r="H15" s="531">
        <v>249.08999999999997</v>
      </c>
      <c r="I15" s="168">
        <f t="shared" si="0"/>
        <v>3736.3499999999995</v>
      </c>
    </row>
    <row r="16" spans="1:9" x14ac:dyDescent="0.35">
      <c r="A16" s="169" t="s">
        <v>376</v>
      </c>
      <c r="B16" s="1362" t="s">
        <v>624</v>
      </c>
      <c r="C16" s="1362"/>
      <c r="D16" s="1362"/>
      <c r="E16" s="170" t="s">
        <v>613</v>
      </c>
      <c r="F16" s="1363">
        <v>2</v>
      </c>
      <c r="G16" s="1363"/>
      <c r="H16" s="531">
        <v>1245.4499999999998</v>
      </c>
      <c r="I16" s="168">
        <f t="shared" si="0"/>
        <v>2490.8999999999996</v>
      </c>
    </row>
    <row r="17" spans="1:9" ht="21.75" customHeight="1" x14ac:dyDescent="0.35">
      <c r="A17" s="169" t="s">
        <v>378</v>
      </c>
      <c r="B17" s="1362" t="s">
        <v>625</v>
      </c>
      <c r="C17" s="1362"/>
      <c r="D17" s="1362"/>
      <c r="E17" s="170" t="s">
        <v>626</v>
      </c>
      <c r="F17" s="1369"/>
      <c r="G17" s="1369"/>
      <c r="H17" s="531">
        <v>5750</v>
      </c>
      <c r="I17" s="168">
        <f t="shared" si="0"/>
        <v>0</v>
      </c>
    </row>
    <row r="18" spans="1:9" x14ac:dyDescent="0.35">
      <c r="A18" s="169" t="s">
        <v>146</v>
      </c>
      <c r="B18" s="1353" t="s">
        <v>739</v>
      </c>
      <c r="C18" s="1353"/>
      <c r="D18" s="1353"/>
      <c r="E18" s="170" t="s">
        <v>613</v>
      </c>
      <c r="F18" s="1354">
        <v>2</v>
      </c>
      <c r="G18" s="1355"/>
      <c r="H18" s="531">
        <v>4732.7099999999991</v>
      </c>
      <c r="I18" s="168">
        <f t="shared" si="0"/>
        <v>9465.4199999999983</v>
      </c>
    </row>
    <row r="19" spans="1:9" x14ac:dyDescent="0.35">
      <c r="A19" s="169" t="s">
        <v>627</v>
      </c>
      <c r="B19" s="1353" t="s">
        <v>628</v>
      </c>
      <c r="C19" s="1353"/>
      <c r="D19" s="1353"/>
      <c r="E19" s="170" t="s">
        <v>613</v>
      </c>
      <c r="F19" s="1354">
        <v>1</v>
      </c>
      <c r="G19" s="1355"/>
      <c r="H19" s="531">
        <v>2117.2649999999999</v>
      </c>
      <c r="I19" s="168">
        <f t="shared" si="0"/>
        <v>2117.2649999999999</v>
      </c>
    </row>
    <row r="20" spans="1:9" x14ac:dyDescent="0.35">
      <c r="A20" s="169" t="s">
        <v>629</v>
      </c>
      <c r="B20" s="1353" t="s">
        <v>630</v>
      </c>
      <c r="C20" s="1353"/>
      <c r="D20" s="1353"/>
      <c r="E20" s="170" t="s">
        <v>613</v>
      </c>
      <c r="F20" s="1354">
        <v>3</v>
      </c>
      <c r="G20" s="1355"/>
      <c r="H20" s="531">
        <v>2117.2649999999999</v>
      </c>
      <c r="I20" s="168">
        <f t="shared" si="0"/>
        <v>6351.7950000000001</v>
      </c>
    </row>
    <row r="21" spans="1:9" x14ac:dyDescent="0.35">
      <c r="A21" s="169" t="s">
        <v>631</v>
      </c>
      <c r="B21" s="1353" t="s">
        <v>632</v>
      </c>
      <c r="C21" s="1353"/>
      <c r="D21" s="1353"/>
      <c r="E21" s="170" t="s">
        <v>613</v>
      </c>
      <c r="F21" s="1354">
        <v>8</v>
      </c>
      <c r="G21" s="1355"/>
      <c r="H21" s="531">
        <v>328.79649999999998</v>
      </c>
      <c r="I21" s="168">
        <f t="shared" si="0"/>
        <v>2630.3719999999998</v>
      </c>
    </row>
    <row r="22" spans="1:9" x14ac:dyDescent="0.35">
      <c r="A22" s="169" t="s">
        <v>633</v>
      </c>
      <c r="B22" s="1353" t="s">
        <v>634</v>
      </c>
      <c r="C22" s="1353"/>
      <c r="D22" s="1353"/>
      <c r="E22" s="170" t="s">
        <v>613</v>
      </c>
      <c r="F22" s="1354">
        <v>22</v>
      </c>
      <c r="G22" s="1355"/>
      <c r="H22" s="531">
        <v>56.050999999999995</v>
      </c>
      <c r="I22" s="168">
        <f t="shared" si="0"/>
        <v>1233.1219999999998</v>
      </c>
    </row>
    <row r="23" spans="1:9" x14ac:dyDescent="0.35">
      <c r="A23" s="169" t="s">
        <v>635</v>
      </c>
      <c r="B23" s="1353" t="s">
        <v>636</v>
      </c>
      <c r="C23" s="1353"/>
      <c r="D23" s="1353"/>
      <c r="E23" s="170" t="s">
        <v>613</v>
      </c>
      <c r="F23" s="1354">
        <v>3</v>
      </c>
      <c r="G23" s="1355"/>
      <c r="H23" s="531">
        <v>373.63499999999993</v>
      </c>
      <c r="I23" s="168">
        <f t="shared" si="0"/>
        <v>1120.9049999999997</v>
      </c>
    </row>
    <row r="24" spans="1:9" x14ac:dyDescent="0.35">
      <c r="A24" s="169" t="s">
        <v>637</v>
      </c>
      <c r="B24" s="1353" t="s">
        <v>638</v>
      </c>
      <c r="C24" s="1353"/>
      <c r="D24" s="1353"/>
      <c r="E24" s="170" t="s">
        <v>613</v>
      </c>
      <c r="F24" s="1354">
        <v>1</v>
      </c>
      <c r="G24" s="1355"/>
      <c r="H24" s="531">
        <v>672.54300000000001</v>
      </c>
      <c r="I24" s="168">
        <f t="shared" si="0"/>
        <v>672.54300000000001</v>
      </c>
    </row>
    <row r="25" spans="1:9" x14ac:dyDescent="0.35">
      <c r="A25" s="169" t="s">
        <v>639</v>
      </c>
      <c r="B25" s="1353" t="s">
        <v>640</v>
      </c>
      <c r="C25" s="1353"/>
      <c r="D25" s="1353"/>
      <c r="E25" s="170" t="s">
        <v>613</v>
      </c>
      <c r="F25" s="1354">
        <v>1</v>
      </c>
      <c r="G25" s="1355"/>
      <c r="H25" s="531">
        <v>1369.9949999999999</v>
      </c>
      <c r="I25" s="168">
        <f t="shared" si="0"/>
        <v>1369.9949999999999</v>
      </c>
    </row>
    <row r="26" spans="1:9" x14ac:dyDescent="0.35">
      <c r="A26" s="169" t="s">
        <v>641</v>
      </c>
      <c r="B26" s="1353" t="s">
        <v>642</v>
      </c>
      <c r="C26" s="1353"/>
      <c r="D26" s="1353"/>
      <c r="E26" s="170" t="s">
        <v>613</v>
      </c>
      <c r="F26" s="1354">
        <v>20</v>
      </c>
      <c r="G26" s="1355"/>
      <c r="H26" s="531">
        <v>2966.9999999999995</v>
      </c>
      <c r="I26" s="168">
        <f t="shared" si="0"/>
        <v>59339.999999999993</v>
      </c>
    </row>
    <row r="27" spans="1:9" x14ac:dyDescent="0.35">
      <c r="A27" s="169" t="s">
        <v>643</v>
      </c>
      <c r="B27" s="1353" t="s">
        <v>644</v>
      </c>
      <c r="C27" s="1353"/>
      <c r="D27" s="1353"/>
      <c r="E27" s="170" t="s">
        <v>613</v>
      </c>
      <c r="F27" s="1354">
        <v>15</v>
      </c>
      <c r="G27" s="1355"/>
      <c r="H27" s="531">
        <v>311.36249999999995</v>
      </c>
      <c r="I27" s="168">
        <f t="shared" si="0"/>
        <v>4670.4374999999991</v>
      </c>
    </row>
    <row r="28" spans="1:9" x14ac:dyDescent="0.35">
      <c r="A28" s="169" t="s">
        <v>645</v>
      </c>
      <c r="B28" s="1353" t="s">
        <v>646</v>
      </c>
      <c r="C28" s="1353"/>
      <c r="D28" s="1353"/>
      <c r="E28" s="170" t="s">
        <v>613</v>
      </c>
      <c r="F28" s="1354">
        <v>2</v>
      </c>
      <c r="G28" s="1355"/>
      <c r="H28" s="531">
        <v>8095.4249999999993</v>
      </c>
      <c r="I28" s="168">
        <f t="shared" si="0"/>
        <v>16190.849999999999</v>
      </c>
    </row>
    <row r="29" spans="1:9" x14ac:dyDescent="0.35">
      <c r="A29" s="169" t="s">
        <v>647</v>
      </c>
      <c r="B29" s="1353" t="s">
        <v>648</v>
      </c>
      <c r="C29" s="1353"/>
      <c r="D29" s="1353"/>
      <c r="E29" s="170" t="s">
        <v>613</v>
      </c>
      <c r="F29" s="1354">
        <v>2</v>
      </c>
      <c r="G29" s="1355"/>
      <c r="H29" s="531">
        <v>1805.9024999999997</v>
      </c>
      <c r="I29" s="168">
        <f t="shared" si="0"/>
        <v>3611.8049999999994</v>
      </c>
    </row>
    <row r="30" spans="1:9" x14ac:dyDescent="0.35">
      <c r="A30" s="169" t="s">
        <v>649</v>
      </c>
      <c r="B30" s="1353" t="s">
        <v>650</v>
      </c>
      <c r="C30" s="1353"/>
      <c r="D30" s="1353"/>
      <c r="E30" s="170" t="s">
        <v>626</v>
      </c>
      <c r="F30" s="1354">
        <v>4</v>
      </c>
      <c r="G30" s="1355"/>
      <c r="H30" s="531">
        <v>28.6465</v>
      </c>
      <c r="I30" s="168">
        <f t="shared" si="0"/>
        <v>114.586</v>
      </c>
    </row>
    <row r="31" spans="1:9" x14ac:dyDescent="0.35">
      <c r="A31" s="169" t="s">
        <v>651</v>
      </c>
      <c r="B31" s="1353" t="s">
        <v>652</v>
      </c>
      <c r="C31" s="1353"/>
      <c r="D31" s="1353"/>
      <c r="E31" s="170" t="s">
        <v>613</v>
      </c>
      <c r="F31" s="1354">
        <v>3</v>
      </c>
      <c r="G31" s="1355"/>
      <c r="H31" s="531">
        <v>448.36199999999997</v>
      </c>
      <c r="I31" s="168">
        <f t="shared" si="0"/>
        <v>1345.0859999999998</v>
      </c>
    </row>
    <row r="32" spans="1:9" x14ac:dyDescent="0.35">
      <c r="A32" s="169" t="s">
        <v>653</v>
      </c>
      <c r="B32" s="1353" t="s">
        <v>654</v>
      </c>
      <c r="C32" s="1353"/>
      <c r="D32" s="1353"/>
      <c r="E32" s="170" t="s">
        <v>613</v>
      </c>
      <c r="F32" s="1354">
        <v>4</v>
      </c>
      <c r="G32" s="1355"/>
      <c r="H32" s="531">
        <v>311.36249999999995</v>
      </c>
      <c r="I32" s="168">
        <f t="shared" si="0"/>
        <v>1245.4499999999998</v>
      </c>
    </row>
    <row r="33" spans="1:9" x14ac:dyDescent="0.35">
      <c r="A33" s="169" t="s">
        <v>655</v>
      </c>
      <c r="B33" s="1353" t="s">
        <v>656</v>
      </c>
      <c r="C33" s="1353"/>
      <c r="D33" s="1353"/>
      <c r="E33" s="170" t="s">
        <v>613</v>
      </c>
      <c r="F33" s="1354">
        <v>2</v>
      </c>
      <c r="G33" s="1355"/>
      <c r="H33" s="531">
        <v>3113.6249999999995</v>
      </c>
      <c r="I33" s="168">
        <f t="shared" si="0"/>
        <v>6227.2499999999991</v>
      </c>
    </row>
    <row r="34" spans="1:9" x14ac:dyDescent="0.35">
      <c r="A34" s="169" t="s">
        <v>657</v>
      </c>
      <c r="B34" s="1353" t="s">
        <v>658</v>
      </c>
      <c r="C34" s="1353"/>
      <c r="D34" s="1353"/>
      <c r="E34" s="170" t="s">
        <v>613</v>
      </c>
      <c r="F34" s="1354">
        <v>4</v>
      </c>
      <c r="G34" s="1355"/>
      <c r="H34" s="531">
        <v>3586.8959999999997</v>
      </c>
      <c r="I34" s="168">
        <f t="shared" si="0"/>
        <v>14347.583999999999</v>
      </c>
    </row>
    <row r="35" spans="1:9" ht="15" thickBot="1" x14ac:dyDescent="0.4">
      <c r="A35" s="171" t="s">
        <v>659</v>
      </c>
      <c r="B35" s="172"/>
      <c r="C35" s="172"/>
      <c r="D35" s="172"/>
      <c r="E35" s="173"/>
      <c r="F35" s="173"/>
      <c r="G35" s="173"/>
      <c r="H35" s="532"/>
      <c r="I35" s="174"/>
    </row>
    <row r="36" spans="1:9" ht="15" thickBot="1" x14ac:dyDescent="0.4">
      <c r="A36" s="175" t="s">
        <v>660</v>
      </c>
      <c r="B36" s="176"/>
      <c r="C36" s="176"/>
      <c r="D36" s="176"/>
      <c r="E36" s="177"/>
      <c r="F36" s="177"/>
      <c r="G36" s="177"/>
      <c r="H36" s="533"/>
      <c r="I36" s="178"/>
    </row>
    <row r="37" spans="1:9" x14ac:dyDescent="0.35">
      <c r="A37" s="166" t="s">
        <v>26</v>
      </c>
      <c r="B37" s="1367" t="s">
        <v>612</v>
      </c>
      <c r="C37" s="1367"/>
      <c r="D37" s="1367"/>
      <c r="E37" s="167" t="s">
        <v>613</v>
      </c>
      <c r="F37" s="1368">
        <v>2</v>
      </c>
      <c r="G37" s="1368"/>
      <c r="H37" s="534">
        <v>3861.1249999999995</v>
      </c>
      <c r="I37" s="168">
        <f t="shared" ref="I37:I52" si="1">F37*H37</f>
        <v>7722.2499999999991</v>
      </c>
    </row>
    <row r="38" spans="1:9" x14ac:dyDescent="0.35">
      <c r="A38" s="169" t="s">
        <v>28</v>
      </c>
      <c r="B38" s="1362" t="s">
        <v>661</v>
      </c>
      <c r="C38" s="1362"/>
      <c r="D38" s="1362"/>
      <c r="E38" s="170" t="s">
        <v>613</v>
      </c>
      <c r="F38" s="1363">
        <v>1</v>
      </c>
      <c r="G38" s="1363"/>
      <c r="H38" s="531">
        <v>1245.4499999999998</v>
      </c>
      <c r="I38" s="168">
        <f t="shared" si="1"/>
        <v>1245.4499999999998</v>
      </c>
    </row>
    <row r="39" spans="1:9" x14ac:dyDescent="0.35">
      <c r="A39" s="169" t="s">
        <v>30</v>
      </c>
      <c r="B39" s="1362" t="s">
        <v>662</v>
      </c>
      <c r="C39" s="1362"/>
      <c r="D39" s="1362"/>
      <c r="E39" s="170" t="s">
        <v>613</v>
      </c>
      <c r="F39" s="1363">
        <v>10</v>
      </c>
      <c r="G39" s="1363"/>
      <c r="H39" s="531">
        <v>311.36249999999995</v>
      </c>
      <c r="I39" s="168">
        <f t="shared" si="1"/>
        <v>3113.6249999999995</v>
      </c>
    </row>
    <row r="40" spans="1:9" x14ac:dyDescent="0.35">
      <c r="A40" s="169" t="s">
        <v>206</v>
      </c>
      <c r="B40" s="1362" t="s">
        <v>615</v>
      </c>
      <c r="C40" s="1362"/>
      <c r="D40" s="1362"/>
      <c r="E40" s="170" t="s">
        <v>613</v>
      </c>
      <c r="F40" s="1363">
        <v>2</v>
      </c>
      <c r="G40" s="1363"/>
      <c r="H40" s="531">
        <v>3736.35</v>
      </c>
      <c r="I40" s="168">
        <f t="shared" si="1"/>
        <v>7472.7</v>
      </c>
    </row>
    <row r="41" spans="1:9" x14ac:dyDescent="0.35">
      <c r="A41" s="169" t="s">
        <v>278</v>
      </c>
      <c r="B41" s="1362" t="s">
        <v>663</v>
      </c>
      <c r="C41" s="1362"/>
      <c r="D41" s="1362"/>
      <c r="E41" s="170" t="s">
        <v>613</v>
      </c>
      <c r="F41" s="1363">
        <v>1</v>
      </c>
      <c r="G41" s="1363"/>
      <c r="H41" s="531">
        <v>3736.35</v>
      </c>
      <c r="I41" s="168">
        <f t="shared" si="1"/>
        <v>3736.35</v>
      </c>
    </row>
    <row r="42" spans="1:9" x14ac:dyDescent="0.35">
      <c r="A42" s="169" t="s">
        <v>280</v>
      </c>
      <c r="B42" s="1362" t="s">
        <v>664</v>
      </c>
      <c r="C42" s="1362"/>
      <c r="D42" s="1362"/>
      <c r="E42" s="170" t="s">
        <v>613</v>
      </c>
      <c r="F42" s="1363">
        <v>8</v>
      </c>
      <c r="G42" s="1363"/>
      <c r="H42" s="531">
        <v>124.54499999999999</v>
      </c>
      <c r="I42" s="168">
        <f t="shared" si="1"/>
        <v>996.3599999999999</v>
      </c>
    </row>
    <row r="43" spans="1:9" x14ac:dyDescent="0.35">
      <c r="A43" s="169" t="s">
        <v>32</v>
      </c>
      <c r="B43" s="1362" t="s">
        <v>665</v>
      </c>
      <c r="C43" s="1362"/>
      <c r="D43" s="1362"/>
      <c r="E43" s="170" t="s">
        <v>613</v>
      </c>
      <c r="F43" s="1363">
        <v>1</v>
      </c>
      <c r="G43" s="1363"/>
      <c r="H43" s="531">
        <v>9963.5999999999985</v>
      </c>
      <c r="I43" s="168">
        <f t="shared" si="1"/>
        <v>9963.5999999999985</v>
      </c>
    </row>
    <row r="44" spans="1:9" x14ac:dyDescent="0.35">
      <c r="A44" s="169" t="s">
        <v>282</v>
      </c>
      <c r="B44" s="1362" t="s">
        <v>666</v>
      </c>
      <c r="C44" s="1362"/>
      <c r="D44" s="1362"/>
      <c r="E44" s="170" t="s">
        <v>613</v>
      </c>
      <c r="F44" s="1363">
        <v>2</v>
      </c>
      <c r="G44" s="1363"/>
      <c r="H44" s="531">
        <v>249.08999999999997</v>
      </c>
      <c r="I44" s="168">
        <f t="shared" si="1"/>
        <v>498.17999999999995</v>
      </c>
    </row>
    <row r="45" spans="1:9" x14ac:dyDescent="0.35">
      <c r="A45" s="169" t="s">
        <v>285</v>
      </c>
      <c r="B45" s="1362" t="s">
        <v>624</v>
      </c>
      <c r="C45" s="1362"/>
      <c r="D45" s="1362"/>
      <c r="E45" s="170" t="s">
        <v>613</v>
      </c>
      <c r="F45" s="1363">
        <v>1</v>
      </c>
      <c r="G45" s="1363"/>
      <c r="H45" s="531">
        <v>3736.35</v>
      </c>
      <c r="I45" s="168">
        <f t="shared" si="1"/>
        <v>3736.35</v>
      </c>
    </row>
    <row r="46" spans="1:9" x14ac:dyDescent="0.35">
      <c r="A46" s="169" t="s">
        <v>286</v>
      </c>
      <c r="B46" s="1353" t="s">
        <v>740</v>
      </c>
      <c r="C46" s="1353"/>
      <c r="D46" s="1353"/>
      <c r="E46" s="170" t="s">
        <v>613</v>
      </c>
      <c r="F46" s="1354">
        <v>3</v>
      </c>
      <c r="G46" s="1355"/>
      <c r="H46" s="531">
        <v>5031.6179999999995</v>
      </c>
      <c r="I46" s="168">
        <f t="shared" si="1"/>
        <v>15094.853999999999</v>
      </c>
    </row>
    <row r="47" spans="1:9" x14ac:dyDescent="0.35">
      <c r="A47" s="169" t="s">
        <v>287</v>
      </c>
      <c r="B47" s="1353" t="s">
        <v>667</v>
      </c>
      <c r="C47" s="1353"/>
      <c r="D47" s="1353"/>
      <c r="E47" s="170" t="s">
        <v>613</v>
      </c>
      <c r="F47" s="1354">
        <v>1</v>
      </c>
      <c r="G47" s="1355"/>
      <c r="H47" s="531">
        <v>2241.81</v>
      </c>
      <c r="I47" s="168">
        <f t="shared" si="1"/>
        <v>2241.81</v>
      </c>
    </row>
    <row r="48" spans="1:9" x14ac:dyDescent="0.35">
      <c r="A48" s="169" t="s">
        <v>376</v>
      </c>
      <c r="B48" s="1353" t="s">
        <v>632</v>
      </c>
      <c r="C48" s="1353"/>
      <c r="D48" s="1353"/>
      <c r="E48" s="170" t="s">
        <v>613</v>
      </c>
      <c r="F48" s="1354">
        <v>4</v>
      </c>
      <c r="G48" s="1355"/>
      <c r="H48" s="531">
        <v>560.45249999999999</v>
      </c>
      <c r="I48" s="168">
        <f t="shared" si="1"/>
        <v>2241.81</v>
      </c>
    </row>
    <row r="49" spans="1:9" x14ac:dyDescent="0.35">
      <c r="A49" s="169" t="s">
        <v>378</v>
      </c>
      <c r="B49" s="1353" t="s">
        <v>668</v>
      </c>
      <c r="C49" s="1353"/>
      <c r="D49" s="1353"/>
      <c r="E49" s="170" t="s">
        <v>613</v>
      </c>
      <c r="F49" s="1354">
        <v>6</v>
      </c>
      <c r="G49" s="1355"/>
      <c r="H49" s="531">
        <v>5293.1624999999995</v>
      </c>
      <c r="I49" s="168">
        <f t="shared" si="1"/>
        <v>31758.974999999999</v>
      </c>
    </row>
    <row r="50" spans="1:9" x14ac:dyDescent="0.35">
      <c r="A50" s="169" t="s">
        <v>146</v>
      </c>
      <c r="B50" s="1353" t="s">
        <v>669</v>
      </c>
      <c r="C50" s="1353"/>
      <c r="D50" s="1353"/>
      <c r="E50" s="170" t="s">
        <v>613</v>
      </c>
      <c r="F50" s="1354">
        <v>12</v>
      </c>
      <c r="G50" s="1355"/>
      <c r="H50" s="531">
        <v>9826.5889999999999</v>
      </c>
      <c r="I50" s="168">
        <f t="shared" si="1"/>
        <v>117919.068</v>
      </c>
    </row>
    <row r="51" spans="1:9" x14ac:dyDescent="0.35">
      <c r="A51" s="169" t="s">
        <v>627</v>
      </c>
      <c r="B51" s="1353" t="s">
        <v>670</v>
      </c>
      <c r="C51" s="1353"/>
      <c r="D51" s="1353"/>
      <c r="E51" s="170" t="s">
        <v>613</v>
      </c>
      <c r="F51" s="1354">
        <v>1</v>
      </c>
      <c r="G51" s="1355"/>
      <c r="H51" s="531">
        <v>11209.05</v>
      </c>
      <c r="I51" s="168">
        <f t="shared" si="1"/>
        <v>11209.05</v>
      </c>
    </row>
    <row r="52" spans="1:9" ht="15" thickBot="1" x14ac:dyDescent="0.4">
      <c r="A52" s="179" t="s">
        <v>629</v>
      </c>
      <c r="B52" s="1364" t="s">
        <v>671</v>
      </c>
      <c r="C52" s="1364"/>
      <c r="D52" s="1364"/>
      <c r="E52" s="180" t="s">
        <v>613</v>
      </c>
      <c r="F52" s="1365">
        <v>2</v>
      </c>
      <c r="G52" s="1366"/>
      <c r="H52" s="535">
        <v>8344.5149999999994</v>
      </c>
      <c r="I52" s="168">
        <f t="shared" si="1"/>
        <v>16689.03</v>
      </c>
    </row>
    <row r="53" spans="1:9" ht="15" thickBot="1" x14ac:dyDescent="0.4">
      <c r="A53" s="181"/>
      <c r="B53" s="1356" t="s">
        <v>672</v>
      </c>
      <c r="C53" s="1356"/>
      <c r="D53" s="1356"/>
      <c r="E53" s="182"/>
      <c r="F53" s="1357"/>
      <c r="G53" s="1358"/>
      <c r="H53" s="536"/>
      <c r="I53" s="178"/>
    </row>
    <row r="54" spans="1:9" x14ac:dyDescent="0.35">
      <c r="A54" s="166" t="s">
        <v>26</v>
      </c>
      <c r="B54" s="1359" t="s">
        <v>673</v>
      </c>
      <c r="C54" s="1359"/>
      <c r="D54" s="1359"/>
      <c r="E54" s="167" t="s">
        <v>613</v>
      </c>
      <c r="F54" s="1360">
        <v>7</v>
      </c>
      <c r="G54" s="1361"/>
      <c r="H54" s="537">
        <v>4732.7099999999991</v>
      </c>
      <c r="I54" s="168">
        <f t="shared" ref="I54:I63" si="2">F54*H54</f>
        <v>33128.969999999994</v>
      </c>
    </row>
    <row r="55" spans="1:9" x14ac:dyDescent="0.35">
      <c r="A55" s="169" t="s">
        <v>28</v>
      </c>
      <c r="B55" s="1362" t="s">
        <v>666</v>
      </c>
      <c r="C55" s="1362"/>
      <c r="D55" s="1362"/>
      <c r="E55" s="170" t="s">
        <v>613</v>
      </c>
      <c r="F55" s="1354">
        <v>1</v>
      </c>
      <c r="G55" s="1355"/>
      <c r="H55" s="531">
        <v>249.08999999999997</v>
      </c>
      <c r="I55" s="168">
        <f t="shared" si="2"/>
        <v>249.08999999999997</v>
      </c>
    </row>
    <row r="56" spans="1:9" x14ac:dyDescent="0.35">
      <c r="A56" s="169" t="s">
        <v>30</v>
      </c>
      <c r="B56" s="1353" t="s">
        <v>632</v>
      </c>
      <c r="C56" s="1353"/>
      <c r="D56" s="1353"/>
      <c r="E56" s="170" t="s">
        <v>613</v>
      </c>
      <c r="F56" s="1354">
        <v>2</v>
      </c>
      <c r="G56" s="1355"/>
      <c r="H56" s="531">
        <v>460.81649999999996</v>
      </c>
      <c r="I56" s="168">
        <f t="shared" si="2"/>
        <v>921.63299999999992</v>
      </c>
    </row>
    <row r="57" spans="1:9" x14ac:dyDescent="0.35">
      <c r="A57" s="169" t="s">
        <v>206</v>
      </c>
      <c r="B57" s="1353" t="s">
        <v>634</v>
      </c>
      <c r="C57" s="1353"/>
      <c r="D57" s="1353"/>
      <c r="E57" s="170" t="s">
        <v>613</v>
      </c>
      <c r="F57" s="1354">
        <v>8</v>
      </c>
      <c r="G57" s="1355"/>
      <c r="H57" s="531">
        <v>56.050999999999995</v>
      </c>
      <c r="I57" s="168">
        <f t="shared" si="2"/>
        <v>448.40799999999996</v>
      </c>
    </row>
    <row r="58" spans="1:9" x14ac:dyDescent="0.35">
      <c r="A58" s="169" t="s">
        <v>278</v>
      </c>
      <c r="B58" s="1353" t="s">
        <v>674</v>
      </c>
      <c r="C58" s="1353"/>
      <c r="D58" s="1353"/>
      <c r="E58" s="170" t="s">
        <v>613</v>
      </c>
      <c r="F58" s="1354">
        <v>8</v>
      </c>
      <c r="G58" s="1355"/>
      <c r="H58" s="531">
        <v>448.36199999999997</v>
      </c>
      <c r="I58" s="168">
        <f t="shared" si="2"/>
        <v>3586.8959999999997</v>
      </c>
    </row>
    <row r="59" spans="1:9" x14ac:dyDescent="0.35">
      <c r="A59" s="169" t="s">
        <v>280</v>
      </c>
      <c r="B59" s="1353" t="s">
        <v>650</v>
      </c>
      <c r="C59" s="1353"/>
      <c r="D59" s="1353"/>
      <c r="E59" s="170" t="s">
        <v>613</v>
      </c>
      <c r="F59" s="1354">
        <v>8</v>
      </c>
      <c r="G59" s="1355"/>
      <c r="H59" s="531">
        <v>28.6465</v>
      </c>
      <c r="I59" s="168">
        <f t="shared" si="2"/>
        <v>229.172</v>
      </c>
    </row>
    <row r="60" spans="1:9" x14ac:dyDescent="0.35">
      <c r="A60" s="169" t="s">
        <v>32</v>
      </c>
      <c r="B60" s="1362" t="s">
        <v>615</v>
      </c>
      <c r="C60" s="1362"/>
      <c r="D60" s="1362"/>
      <c r="E60" s="170" t="s">
        <v>613</v>
      </c>
      <c r="F60" s="1354">
        <v>1</v>
      </c>
      <c r="G60" s="1355"/>
      <c r="H60" s="531">
        <v>4732.7099999999991</v>
      </c>
      <c r="I60" s="168">
        <f t="shared" si="2"/>
        <v>4732.7099999999991</v>
      </c>
    </row>
    <row r="61" spans="1:9" x14ac:dyDescent="0.35">
      <c r="A61" s="169" t="s">
        <v>282</v>
      </c>
      <c r="B61" s="1353" t="s">
        <v>667</v>
      </c>
      <c r="C61" s="1353"/>
      <c r="D61" s="1353"/>
      <c r="E61" s="170" t="s">
        <v>613</v>
      </c>
      <c r="F61" s="1354">
        <v>1</v>
      </c>
      <c r="G61" s="1355"/>
      <c r="H61" s="531">
        <v>2241.81</v>
      </c>
      <c r="I61" s="168">
        <f t="shared" si="2"/>
        <v>2241.81</v>
      </c>
    </row>
    <row r="62" spans="1:9" x14ac:dyDescent="0.35">
      <c r="A62" s="169" t="s">
        <v>285</v>
      </c>
      <c r="B62" s="1353" t="s">
        <v>648</v>
      </c>
      <c r="C62" s="1353"/>
      <c r="D62" s="1353"/>
      <c r="E62" s="170" t="s">
        <v>613</v>
      </c>
      <c r="F62" s="1354">
        <v>1</v>
      </c>
      <c r="G62" s="1355"/>
      <c r="H62" s="531">
        <v>373.63499999999993</v>
      </c>
      <c r="I62" s="168">
        <f t="shared" si="2"/>
        <v>373.63499999999993</v>
      </c>
    </row>
    <row r="63" spans="1:9" x14ac:dyDescent="0.35">
      <c r="A63" s="170" t="s">
        <v>286</v>
      </c>
      <c r="B63" s="1362" t="s">
        <v>612</v>
      </c>
      <c r="C63" s="1362"/>
      <c r="D63" s="1362"/>
      <c r="E63" s="170" t="s">
        <v>613</v>
      </c>
      <c r="F63" s="1363">
        <v>1</v>
      </c>
      <c r="G63" s="1363"/>
      <c r="H63" s="538">
        <v>3860.895</v>
      </c>
      <c r="I63" s="168">
        <f t="shared" si="2"/>
        <v>3860.895</v>
      </c>
    </row>
    <row r="64" spans="1:9" x14ac:dyDescent="0.35">
      <c r="I64" s="221" t="s">
        <v>831</v>
      </c>
    </row>
    <row r="65" spans="1:9" x14ac:dyDescent="0.35">
      <c r="A65" s="1370" t="s">
        <v>737</v>
      </c>
      <c r="B65" s="1371"/>
      <c r="C65" s="1371"/>
      <c r="D65" s="1371"/>
      <c r="E65" s="1371"/>
      <c r="F65" s="1371"/>
      <c r="G65" s="1372"/>
      <c r="H65" s="220" t="s">
        <v>1348</v>
      </c>
      <c r="I65" s="743">
        <f>SUM(I4:I64)</f>
        <v>490487.88</v>
      </c>
    </row>
    <row r="66" spans="1:9" ht="16" customHeight="1" x14ac:dyDescent="0.35">
      <c r="H66" s="222" t="s">
        <v>1309</v>
      </c>
      <c r="I66" s="223">
        <f>I65*1.05</f>
        <v>515012.27400000003</v>
      </c>
    </row>
    <row r="67" spans="1:9" ht="20" customHeight="1" x14ac:dyDescent="0.35">
      <c r="H67" s="222" t="s">
        <v>1310</v>
      </c>
      <c r="I67" s="223">
        <f t="shared" ref="I67:I69" si="3">I66*1.05</f>
        <v>540762.88770000008</v>
      </c>
    </row>
    <row r="68" spans="1:9" ht="17" customHeight="1" x14ac:dyDescent="0.35">
      <c r="H68" s="222" t="s">
        <v>1311</v>
      </c>
      <c r="I68" s="223">
        <f t="shared" si="3"/>
        <v>567801.03208500007</v>
      </c>
    </row>
    <row r="69" spans="1:9" ht="16" customHeight="1" x14ac:dyDescent="0.35">
      <c r="H69" s="222" t="s">
        <v>1312</v>
      </c>
      <c r="I69" s="223">
        <f t="shared" si="3"/>
        <v>596191.08368925005</v>
      </c>
    </row>
    <row r="71" spans="1:9" x14ac:dyDescent="0.35">
      <c r="B71" t="s">
        <v>10</v>
      </c>
      <c r="E71" t="s">
        <v>968</v>
      </c>
    </row>
  </sheetData>
  <mergeCells count="120">
    <mergeCell ref="A65:G65"/>
    <mergeCell ref="B6:D6"/>
    <mergeCell ref="F6:G6"/>
    <mergeCell ref="B7:D7"/>
    <mergeCell ref="F7:G7"/>
    <mergeCell ref="B8:D8"/>
    <mergeCell ref="F8:G8"/>
    <mergeCell ref="A1:I2"/>
    <mergeCell ref="B3:D3"/>
    <mergeCell ref="F3:G3"/>
    <mergeCell ref="B4:D4"/>
    <mergeCell ref="F4:G4"/>
    <mergeCell ref="F5:G5"/>
    <mergeCell ref="B5:D5"/>
    <mergeCell ref="B12:D12"/>
    <mergeCell ref="F12:G12"/>
    <mergeCell ref="B13:D13"/>
    <mergeCell ref="F13:G13"/>
    <mergeCell ref="B14:D14"/>
    <mergeCell ref="F14:G14"/>
    <mergeCell ref="B9:D9"/>
    <mergeCell ref="F9:G9"/>
    <mergeCell ref="B10:D10"/>
    <mergeCell ref="F10:G10"/>
    <mergeCell ref="B11:D11"/>
    <mergeCell ref="F11:G11"/>
    <mergeCell ref="B18:D18"/>
    <mergeCell ref="F18:G18"/>
    <mergeCell ref="B19:D19"/>
    <mergeCell ref="F19:G19"/>
    <mergeCell ref="B20:D20"/>
    <mergeCell ref="F20:G20"/>
    <mergeCell ref="B15:D15"/>
    <mergeCell ref="F15:G15"/>
    <mergeCell ref="B16:D16"/>
    <mergeCell ref="F16:G16"/>
    <mergeCell ref="B17:D17"/>
    <mergeCell ref="F17:G17"/>
    <mergeCell ref="B24:D24"/>
    <mergeCell ref="F24:G24"/>
    <mergeCell ref="B25:D25"/>
    <mergeCell ref="F25:G25"/>
    <mergeCell ref="B26:D26"/>
    <mergeCell ref="F26:G26"/>
    <mergeCell ref="B21:D21"/>
    <mergeCell ref="F21:G21"/>
    <mergeCell ref="B22:D22"/>
    <mergeCell ref="F22:G22"/>
    <mergeCell ref="B23:D23"/>
    <mergeCell ref="F23:G23"/>
    <mergeCell ref="B30:D30"/>
    <mergeCell ref="F30:G30"/>
    <mergeCell ref="B31:D31"/>
    <mergeCell ref="F31:G31"/>
    <mergeCell ref="B32:D32"/>
    <mergeCell ref="F32:G32"/>
    <mergeCell ref="B27:D27"/>
    <mergeCell ref="F27:G27"/>
    <mergeCell ref="B28:D28"/>
    <mergeCell ref="F28:G28"/>
    <mergeCell ref="B29:D29"/>
    <mergeCell ref="F29:G29"/>
    <mergeCell ref="B38:D38"/>
    <mergeCell ref="F38:G38"/>
    <mergeCell ref="B39:D39"/>
    <mergeCell ref="F39:G39"/>
    <mergeCell ref="B40:D40"/>
    <mergeCell ref="F40:G40"/>
    <mergeCell ref="B33:D33"/>
    <mergeCell ref="F33:G33"/>
    <mergeCell ref="B34:D34"/>
    <mergeCell ref="F34:G34"/>
    <mergeCell ref="B37:D37"/>
    <mergeCell ref="F37:G37"/>
    <mergeCell ref="B44:D44"/>
    <mergeCell ref="F44:G44"/>
    <mergeCell ref="B45:D45"/>
    <mergeCell ref="F45:G45"/>
    <mergeCell ref="B46:D46"/>
    <mergeCell ref="F46:G46"/>
    <mergeCell ref="B41:D41"/>
    <mergeCell ref="F41:G41"/>
    <mergeCell ref="B42:D42"/>
    <mergeCell ref="F42:G42"/>
    <mergeCell ref="B43:D43"/>
    <mergeCell ref="F43:G43"/>
    <mergeCell ref="B50:D50"/>
    <mergeCell ref="F50:G50"/>
    <mergeCell ref="B51:D51"/>
    <mergeCell ref="F51:G51"/>
    <mergeCell ref="B52:D52"/>
    <mergeCell ref="F52:G52"/>
    <mergeCell ref="B47:D47"/>
    <mergeCell ref="F47:G47"/>
    <mergeCell ref="B48:D48"/>
    <mergeCell ref="F48:G48"/>
    <mergeCell ref="B49:D49"/>
    <mergeCell ref="F49:G49"/>
    <mergeCell ref="B62:D62"/>
    <mergeCell ref="F62:G62"/>
    <mergeCell ref="B63:D63"/>
    <mergeCell ref="F63:G63"/>
    <mergeCell ref="B59:D59"/>
    <mergeCell ref="F59:G59"/>
    <mergeCell ref="B60:D60"/>
    <mergeCell ref="F60:G60"/>
    <mergeCell ref="B61:D61"/>
    <mergeCell ref="F61:G61"/>
    <mergeCell ref="B56:D56"/>
    <mergeCell ref="F56:G56"/>
    <mergeCell ref="B57:D57"/>
    <mergeCell ref="F57:G57"/>
    <mergeCell ref="B58:D58"/>
    <mergeCell ref="F58:G58"/>
    <mergeCell ref="B53:D53"/>
    <mergeCell ref="F53:G53"/>
    <mergeCell ref="B54:D54"/>
    <mergeCell ref="F54:G54"/>
    <mergeCell ref="B55:D55"/>
    <mergeCell ref="F55:G5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opLeftCell="A90" workbookViewId="0">
      <selection activeCell="A86" sqref="A86:K108"/>
    </sheetView>
  </sheetViews>
  <sheetFormatPr defaultRowHeight="14.5" x14ac:dyDescent="0.35"/>
  <cols>
    <col min="2" max="2" width="27.453125" customWidth="1"/>
    <col min="3" max="3" width="23.54296875" customWidth="1"/>
    <col min="4" max="4" width="7.1796875" customWidth="1"/>
    <col min="6" max="6" width="9.1796875" bestFit="1" customWidth="1"/>
    <col min="7" max="7" width="11.453125" customWidth="1"/>
  </cols>
  <sheetData>
    <row r="1" spans="1:7" ht="15" thickBot="1" x14ac:dyDescent="0.4">
      <c r="A1" s="1406" t="s">
        <v>1313</v>
      </c>
      <c r="B1" s="1407"/>
      <c r="C1" s="1407"/>
      <c r="D1" s="1407"/>
      <c r="E1" s="1407"/>
      <c r="F1" s="1407"/>
      <c r="G1" s="1408"/>
    </row>
    <row r="2" spans="1:7" ht="30" customHeight="1" thickBot="1" x14ac:dyDescent="0.4">
      <c r="A2" s="1393" t="s">
        <v>771</v>
      </c>
      <c r="B2" s="1394"/>
      <c r="C2" s="1395"/>
      <c r="D2" s="436" t="s">
        <v>51</v>
      </c>
      <c r="E2" s="437" t="s">
        <v>75</v>
      </c>
      <c r="F2" s="629" t="s">
        <v>675</v>
      </c>
      <c r="G2" s="438" t="s">
        <v>1314</v>
      </c>
    </row>
    <row r="3" spans="1:7" x14ac:dyDescent="0.35">
      <c r="A3" s="1386" t="s">
        <v>745</v>
      </c>
      <c r="B3" s="1386"/>
      <c r="C3" s="1386"/>
      <c r="D3" s="183" t="s">
        <v>186</v>
      </c>
      <c r="E3" s="229">
        <v>46</v>
      </c>
      <c r="F3" s="539">
        <v>1131.5999999999999</v>
      </c>
      <c r="G3" s="672">
        <f>E3*F3/1000</f>
        <v>52.053599999999996</v>
      </c>
    </row>
    <row r="4" spans="1:7" x14ac:dyDescent="0.35">
      <c r="A4" s="1386" t="s">
        <v>746</v>
      </c>
      <c r="B4" s="1386"/>
      <c r="C4" s="1386"/>
      <c r="D4" s="183" t="s">
        <v>186</v>
      </c>
      <c r="E4" s="229">
        <v>46</v>
      </c>
      <c r="F4" s="539">
        <v>402.49999999999994</v>
      </c>
      <c r="G4" s="672">
        <f t="shared" ref="G4:G6" si="0">E4*F4/1000</f>
        <v>18.514999999999997</v>
      </c>
    </row>
    <row r="5" spans="1:7" x14ac:dyDescent="0.35">
      <c r="A5" s="1386" t="s">
        <v>747</v>
      </c>
      <c r="B5" s="1386"/>
      <c r="C5" s="1386"/>
      <c r="D5" s="183" t="s">
        <v>186</v>
      </c>
      <c r="E5" s="229">
        <v>67</v>
      </c>
      <c r="F5" s="539">
        <v>1380</v>
      </c>
      <c r="G5" s="672">
        <f t="shared" si="0"/>
        <v>92.46</v>
      </c>
    </row>
    <row r="6" spans="1:7" x14ac:dyDescent="0.35">
      <c r="A6" s="1386" t="s">
        <v>772</v>
      </c>
      <c r="B6" s="1386"/>
      <c r="C6" s="1386"/>
      <c r="D6" s="183" t="s">
        <v>186</v>
      </c>
      <c r="E6" s="229">
        <v>300</v>
      </c>
      <c r="F6" s="539">
        <v>850</v>
      </c>
      <c r="G6" s="672">
        <f t="shared" si="0"/>
        <v>255</v>
      </c>
    </row>
    <row r="7" spans="1:7" x14ac:dyDescent="0.35">
      <c r="A7" s="1392" t="s">
        <v>756</v>
      </c>
      <c r="B7" s="1392"/>
      <c r="C7" s="1392"/>
      <c r="D7" s="103"/>
      <c r="E7" s="103"/>
      <c r="F7" s="539">
        <v>0</v>
      </c>
      <c r="G7" s="103"/>
    </row>
    <row r="8" spans="1:7" x14ac:dyDescent="0.35">
      <c r="A8" s="1386" t="s">
        <v>748</v>
      </c>
      <c r="B8" s="1386"/>
      <c r="C8" s="1386"/>
      <c r="D8" s="183" t="s">
        <v>186</v>
      </c>
      <c r="E8" s="103">
        <v>2</v>
      </c>
      <c r="F8" s="539">
        <v>850</v>
      </c>
      <c r="G8" s="672">
        <f t="shared" ref="G8:G25" si="1">E8*F8/1000</f>
        <v>1.7</v>
      </c>
    </row>
    <row r="9" spans="1:7" x14ac:dyDescent="0.35">
      <c r="A9" s="1386" t="s">
        <v>757</v>
      </c>
      <c r="B9" s="1386"/>
      <c r="C9" s="1386"/>
      <c r="D9" s="183" t="s">
        <v>186</v>
      </c>
      <c r="E9" s="103">
        <v>4</v>
      </c>
      <c r="F9" s="539">
        <v>2510.4499999999998</v>
      </c>
      <c r="G9" s="672">
        <f t="shared" si="1"/>
        <v>10.041799999999999</v>
      </c>
    </row>
    <row r="10" spans="1:7" x14ac:dyDescent="0.35">
      <c r="A10" s="1386" t="s">
        <v>758</v>
      </c>
      <c r="B10" s="1386"/>
      <c r="C10" s="1386"/>
      <c r="D10" s="183" t="s">
        <v>186</v>
      </c>
      <c r="E10" s="103">
        <v>28</v>
      </c>
      <c r="F10" s="539">
        <v>2875</v>
      </c>
      <c r="G10" s="672">
        <f t="shared" si="1"/>
        <v>80.5</v>
      </c>
    </row>
    <row r="11" spans="1:7" x14ac:dyDescent="0.35">
      <c r="A11" s="1386" t="s">
        <v>749</v>
      </c>
      <c r="B11" s="1386"/>
      <c r="C11" s="1386"/>
      <c r="D11" s="183" t="s">
        <v>186</v>
      </c>
      <c r="E11" s="103">
        <v>6</v>
      </c>
      <c r="F11" s="539">
        <v>1492.6999999999998</v>
      </c>
      <c r="G11" s="672">
        <f t="shared" si="1"/>
        <v>8.9561999999999991</v>
      </c>
    </row>
    <row r="12" spans="1:7" x14ac:dyDescent="0.35">
      <c r="A12" s="1386" t="s">
        <v>750</v>
      </c>
      <c r="B12" s="1386"/>
      <c r="C12" s="1386"/>
      <c r="D12" s="183" t="s">
        <v>186</v>
      </c>
      <c r="E12" s="103">
        <v>2</v>
      </c>
      <c r="F12" s="539">
        <v>339.25</v>
      </c>
      <c r="G12" s="672">
        <f t="shared" si="1"/>
        <v>0.67849999999999999</v>
      </c>
    </row>
    <row r="13" spans="1:7" x14ac:dyDescent="0.35">
      <c r="A13" s="1386" t="s">
        <v>744</v>
      </c>
      <c r="B13" s="1386"/>
      <c r="C13" s="1386"/>
      <c r="D13" s="183" t="s">
        <v>186</v>
      </c>
      <c r="E13" s="103">
        <v>30</v>
      </c>
      <c r="F13" s="539">
        <v>588</v>
      </c>
      <c r="G13" s="672">
        <f t="shared" si="1"/>
        <v>17.64</v>
      </c>
    </row>
    <row r="14" spans="1:7" x14ac:dyDescent="0.35">
      <c r="A14" s="1386" t="s">
        <v>745</v>
      </c>
      <c r="B14" s="1386"/>
      <c r="C14" s="1386"/>
      <c r="D14" s="183" t="s">
        <v>186</v>
      </c>
      <c r="E14" s="103">
        <v>4</v>
      </c>
      <c r="F14" s="539">
        <v>1131.5999999999999</v>
      </c>
      <c r="G14" s="672">
        <f t="shared" si="1"/>
        <v>4.5263999999999998</v>
      </c>
    </row>
    <row r="15" spans="1:7" x14ac:dyDescent="0.35">
      <c r="A15" s="1386" t="s">
        <v>751</v>
      </c>
      <c r="B15" s="1386"/>
      <c r="C15" s="1386"/>
      <c r="D15" s="183" t="s">
        <v>186</v>
      </c>
      <c r="E15" s="103">
        <v>2</v>
      </c>
      <c r="F15" s="539">
        <v>172.5</v>
      </c>
      <c r="G15" s="672">
        <f t="shared" si="1"/>
        <v>0.34499999999999997</v>
      </c>
    </row>
    <row r="16" spans="1:7" ht="18" customHeight="1" x14ac:dyDescent="0.35">
      <c r="A16" s="1391" t="s">
        <v>759</v>
      </c>
      <c r="B16" s="1391"/>
      <c r="C16" s="1391"/>
      <c r="D16" s="183" t="s">
        <v>186</v>
      </c>
      <c r="E16" s="103">
        <v>2</v>
      </c>
      <c r="F16" s="539">
        <v>339.25</v>
      </c>
      <c r="G16" s="672">
        <f t="shared" si="1"/>
        <v>0.67849999999999999</v>
      </c>
    </row>
    <row r="17" spans="1:7" x14ac:dyDescent="0.35">
      <c r="A17" s="1386" t="s">
        <v>752</v>
      </c>
      <c r="B17" s="1386"/>
      <c r="C17" s="1386"/>
      <c r="D17" s="183" t="s">
        <v>186</v>
      </c>
      <c r="E17" s="103">
        <v>1</v>
      </c>
      <c r="F17" s="539">
        <v>9427.6999999999989</v>
      </c>
      <c r="G17" s="672">
        <f t="shared" si="1"/>
        <v>9.4276999999999997</v>
      </c>
    </row>
    <row r="18" spans="1:7" x14ac:dyDescent="0.35">
      <c r="A18" s="1386" t="s">
        <v>753</v>
      </c>
      <c r="B18" s="1386"/>
      <c r="C18" s="1386"/>
      <c r="D18" s="183" t="s">
        <v>186</v>
      </c>
      <c r="E18" s="103">
        <v>4</v>
      </c>
      <c r="F18" s="539"/>
      <c r="G18" s="672">
        <f t="shared" si="1"/>
        <v>0</v>
      </c>
    </row>
    <row r="19" spans="1:7" x14ac:dyDescent="0.35">
      <c r="A19" s="1386" t="s">
        <v>754</v>
      </c>
      <c r="B19" s="1386"/>
      <c r="C19" s="1386"/>
      <c r="D19" s="183" t="s">
        <v>186</v>
      </c>
      <c r="E19" s="103">
        <v>1</v>
      </c>
      <c r="F19" s="539">
        <v>1380</v>
      </c>
      <c r="G19" s="672">
        <f t="shared" si="1"/>
        <v>1.38</v>
      </c>
    </row>
    <row r="20" spans="1:7" x14ac:dyDescent="0.35">
      <c r="A20" s="1387" t="s">
        <v>839</v>
      </c>
      <c r="B20" s="1388"/>
      <c r="C20" s="1389"/>
      <c r="D20" s="183" t="s">
        <v>186</v>
      </c>
      <c r="E20" s="103">
        <v>1</v>
      </c>
      <c r="F20" s="539">
        <v>289800</v>
      </c>
      <c r="G20" s="672">
        <f t="shared" si="1"/>
        <v>289.8</v>
      </c>
    </row>
    <row r="21" spans="1:7" x14ac:dyDescent="0.35">
      <c r="A21" s="1387" t="s">
        <v>840</v>
      </c>
      <c r="B21" s="1388"/>
      <c r="C21" s="1389"/>
      <c r="D21" s="183" t="s">
        <v>186</v>
      </c>
      <c r="E21" s="103">
        <v>1</v>
      </c>
      <c r="F21" s="539">
        <v>153930.94999999998</v>
      </c>
      <c r="G21" s="672">
        <f t="shared" si="1"/>
        <v>153.93095</v>
      </c>
    </row>
    <row r="22" spans="1:7" x14ac:dyDescent="0.35">
      <c r="A22" s="1386" t="s">
        <v>760</v>
      </c>
      <c r="B22" s="1386"/>
      <c r="C22" s="1386"/>
      <c r="D22" s="183" t="s">
        <v>186</v>
      </c>
      <c r="E22" s="103">
        <v>1</v>
      </c>
      <c r="F22" s="539">
        <v>1492.6999999999998</v>
      </c>
      <c r="G22" s="672">
        <f t="shared" si="1"/>
        <v>1.4926999999999999</v>
      </c>
    </row>
    <row r="23" spans="1:7" x14ac:dyDescent="0.35">
      <c r="A23" s="1386" t="s">
        <v>768</v>
      </c>
      <c r="B23" s="1386"/>
      <c r="C23" s="1386"/>
      <c r="D23" s="183" t="s">
        <v>186</v>
      </c>
      <c r="E23" s="103">
        <v>10</v>
      </c>
      <c r="F23" s="539">
        <v>420</v>
      </c>
      <c r="G23" s="672">
        <f t="shared" si="1"/>
        <v>4.2</v>
      </c>
    </row>
    <row r="24" spans="1:7" x14ac:dyDescent="0.35">
      <c r="A24" s="1386" t="s">
        <v>755</v>
      </c>
      <c r="B24" s="1386"/>
      <c r="C24" s="1386"/>
      <c r="D24" s="183" t="s">
        <v>186</v>
      </c>
      <c r="E24" s="103">
        <v>2</v>
      </c>
      <c r="F24" s="539">
        <v>65</v>
      </c>
      <c r="G24" s="672">
        <f t="shared" si="1"/>
        <v>0.13</v>
      </c>
    </row>
    <row r="25" spans="1:7" x14ac:dyDescent="0.35">
      <c r="A25" s="1386" t="s">
        <v>761</v>
      </c>
      <c r="B25" s="1386"/>
      <c r="C25" s="1386"/>
      <c r="D25" s="183" t="s">
        <v>186</v>
      </c>
      <c r="E25" s="103">
        <v>2</v>
      </c>
      <c r="F25" s="539">
        <v>1494.9999999999998</v>
      </c>
      <c r="G25" s="672">
        <f t="shared" si="1"/>
        <v>2.9899999999999993</v>
      </c>
    </row>
    <row r="26" spans="1:7" ht="18.75" customHeight="1" x14ac:dyDescent="0.35">
      <c r="A26" s="1390" t="s">
        <v>762</v>
      </c>
      <c r="B26" s="1390"/>
      <c r="C26" s="1390"/>
      <c r="D26" s="103"/>
      <c r="E26" s="103"/>
      <c r="F26" s="539"/>
      <c r="G26" s="229"/>
    </row>
    <row r="27" spans="1:7" ht="30" customHeight="1" x14ac:dyDescent="0.35">
      <c r="A27" s="1391" t="s">
        <v>763</v>
      </c>
      <c r="B27" s="1391"/>
      <c r="C27" s="1391"/>
      <c r="D27" s="183" t="s">
        <v>186</v>
      </c>
      <c r="E27" s="103">
        <v>4</v>
      </c>
      <c r="F27" s="539">
        <v>850</v>
      </c>
      <c r="G27" s="672">
        <f t="shared" ref="G27:G46" si="2">E27*F27/1000</f>
        <v>3.4</v>
      </c>
    </row>
    <row r="28" spans="1:7" x14ac:dyDescent="0.35">
      <c r="A28" s="1386" t="s">
        <v>764</v>
      </c>
      <c r="B28" s="1386"/>
      <c r="C28" s="1386"/>
      <c r="D28" s="183" t="s">
        <v>186</v>
      </c>
      <c r="E28" s="103">
        <v>1</v>
      </c>
      <c r="F28" s="539">
        <v>2510.4499999999998</v>
      </c>
      <c r="G28" s="672">
        <f t="shared" si="2"/>
        <v>2.5104499999999996</v>
      </c>
    </row>
    <row r="29" spans="1:7" x14ac:dyDescent="0.35">
      <c r="A29" s="1386" t="s">
        <v>765</v>
      </c>
      <c r="B29" s="1386"/>
      <c r="C29" s="1386"/>
      <c r="D29" s="183" t="s">
        <v>186</v>
      </c>
      <c r="E29" s="103">
        <v>1</v>
      </c>
      <c r="F29" s="539">
        <v>1492.6999999999998</v>
      </c>
      <c r="G29" s="672">
        <f t="shared" si="2"/>
        <v>1.4926999999999999</v>
      </c>
    </row>
    <row r="30" spans="1:7" x14ac:dyDescent="0.35">
      <c r="A30" s="1386" t="s">
        <v>758</v>
      </c>
      <c r="B30" s="1386"/>
      <c r="C30" s="1386"/>
      <c r="D30" s="183" t="s">
        <v>186</v>
      </c>
      <c r="E30" s="103">
        <v>5</v>
      </c>
      <c r="F30" s="539">
        <v>2875</v>
      </c>
      <c r="G30" s="672">
        <f t="shared" si="2"/>
        <v>14.375</v>
      </c>
    </row>
    <row r="31" spans="1:7" x14ac:dyDescent="0.35">
      <c r="A31" s="1386" t="s">
        <v>837</v>
      </c>
      <c r="B31" s="1386"/>
      <c r="C31" s="1386"/>
      <c r="D31" s="183" t="s">
        <v>836</v>
      </c>
      <c r="E31" s="103">
        <v>3</v>
      </c>
      <c r="F31" s="539">
        <v>5865</v>
      </c>
      <c r="G31" s="672">
        <f t="shared" si="2"/>
        <v>17.594999999999999</v>
      </c>
    </row>
    <row r="32" spans="1:7" x14ac:dyDescent="0.35">
      <c r="A32" s="1386" t="s">
        <v>752</v>
      </c>
      <c r="B32" s="1386"/>
      <c r="C32" s="1386"/>
      <c r="D32" s="183" t="s">
        <v>836</v>
      </c>
      <c r="E32" s="103">
        <v>5</v>
      </c>
      <c r="F32" s="539">
        <v>5704</v>
      </c>
      <c r="G32" s="672">
        <f t="shared" si="2"/>
        <v>28.52</v>
      </c>
    </row>
    <row r="33" spans="1:7" x14ac:dyDescent="0.35">
      <c r="A33" s="1386" t="s">
        <v>760</v>
      </c>
      <c r="B33" s="1386"/>
      <c r="C33" s="1386"/>
      <c r="D33" s="183" t="s">
        <v>186</v>
      </c>
      <c r="E33" s="103">
        <v>3</v>
      </c>
      <c r="F33" s="539">
        <v>2640.3999999999996</v>
      </c>
      <c r="G33" s="672">
        <f t="shared" si="2"/>
        <v>7.9211999999999989</v>
      </c>
    </row>
    <row r="34" spans="1:7" x14ac:dyDescent="0.35">
      <c r="A34" s="1386" t="s">
        <v>744</v>
      </c>
      <c r="B34" s="1386"/>
      <c r="C34" s="1386"/>
      <c r="D34" s="183" t="s">
        <v>186</v>
      </c>
      <c r="E34" s="103">
        <v>30</v>
      </c>
      <c r="F34" s="539">
        <v>588</v>
      </c>
      <c r="G34" s="672">
        <f t="shared" si="2"/>
        <v>17.64</v>
      </c>
    </row>
    <row r="35" spans="1:7" x14ac:dyDescent="0.35">
      <c r="A35" s="1386" t="s">
        <v>745</v>
      </c>
      <c r="B35" s="1386"/>
      <c r="C35" s="1386"/>
      <c r="D35" s="183" t="s">
        <v>186</v>
      </c>
      <c r="E35" s="103">
        <v>3</v>
      </c>
      <c r="F35" s="539">
        <v>1131.5999999999999</v>
      </c>
      <c r="G35" s="672">
        <f t="shared" si="2"/>
        <v>3.3947999999999996</v>
      </c>
    </row>
    <row r="36" spans="1:7" x14ac:dyDescent="0.35">
      <c r="A36" s="1386" t="s">
        <v>766</v>
      </c>
      <c r="B36" s="1386"/>
      <c r="C36" s="1386"/>
      <c r="D36" s="183" t="s">
        <v>186</v>
      </c>
      <c r="E36" s="103">
        <v>8</v>
      </c>
      <c r="F36" s="539">
        <v>1494.9999999999998</v>
      </c>
      <c r="G36" s="672">
        <f t="shared" si="2"/>
        <v>11.959999999999997</v>
      </c>
    </row>
    <row r="37" spans="1:7" x14ac:dyDescent="0.35">
      <c r="A37" s="1386" t="s">
        <v>1347</v>
      </c>
      <c r="B37" s="1386"/>
      <c r="C37" s="1386"/>
      <c r="D37" s="183" t="s">
        <v>186</v>
      </c>
      <c r="E37" s="103">
        <v>20</v>
      </c>
      <c r="F37" s="539">
        <v>129.94999999999999</v>
      </c>
      <c r="G37" s="672">
        <f t="shared" si="2"/>
        <v>2.5990000000000002</v>
      </c>
    </row>
    <row r="38" spans="1:7" x14ac:dyDescent="0.35">
      <c r="A38" s="1386" t="s">
        <v>767</v>
      </c>
      <c r="B38" s="1386"/>
      <c r="C38" s="1386"/>
      <c r="D38" s="183" t="s">
        <v>186</v>
      </c>
      <c r="E38" s="103">
        <v>1</v>
      </c>
      <c r="F38" s="539">
        <v>1897.4999999999998</v>
      </c>
      <c r="G38" s="672">
        <f t="shared" si="2"/>
        <v>1.8974999999999997</v>
      </c>
    </row>
    <row r="39" spans="1:7" x14ac:dyDescent="0.35">
      <c r="A39" s="1386" t="s">
        <v>751</v>
      </c>
      <c r="B39" s="1386"/>
      <c r="C39" s="1386"/>
      <c r="D39" s="183" t="s">
        <v>186</v>
      </c>
      <c r="E39" s="103">
        <v>6</v>
      </c>
      <c r="F39" s="539">
        <v>1200</v>
      </c>
      <c r="G39" s="672">
        <f t="shared" si="2"/>
        <v>7.2</v>
      </c>
    </row>
    <row r="40" spans="1:7" x14ac:dyDescent="0.35">
      <c r="A40" s="1386" t="s">
        <v>753</v>
      </c>
      <c r="B40" s="1386"/>
      <c r="C40" s="1386"/>
      <c r="D40" s="183" t="s">
        <v>186</v>
      </c>
      <c r="E40" s="103">
        <v>3</v>
      </c>
      <c r="F40" s="539">
        <v>345</v>
      </c>
      <c r="G40" s="672">
        <f t="shared" si="2"/>
        <v>1.0349999999999999</v>
      </c>
    </row>
    <row r="41" spans="1:7" x14ac:dyDescent="0.35">
      <c r="A41" s="1386" t="s">
        <v>754</v>
      </c>
      <c r="B41" s="1386"/>
      <c r="C41" s="1386"/>
      <c r="D41" s="183" t="s">
        <v>836</v>
      </c>
      <c r="E41" s="103">
        <v>3</v>
      </c>
      <c r="F41" s="539">
        <v>1380</v>
      </c>
      <c r="G41" s="672">
        <f t="shared" si="2"/>
        <v>4.1399999999999997</v>
      </c>
    </row>
    <row r="42" spans="1:7" x14ac:dyDescent="0.35">
      <c r="A42" s="1387" t="s">
        <v>838</v>
      </c>
      <c r="B42" s="1388"/>
      <c r="C42" s="1389"/>
      <c r="D42" s="183" t="s">
        <v>836</v>
      </c>
      <c r="E42" s="103">
        <v>4</v>
      </c>
      <c r="F42" s="539">
        <v>51749.999999999993</v>
      </c>
      <c r="G42" s="672">
        <f t="shared" si="2"/>
        <v>206.99999999999997</v>
      </c>
    </row>
    <row r="43" spans="1:7" x14ac:dyDescent="0.35">
      <c r="A43" s="1386" t="s">
        <v>755</v>
      </c>
      <c r="B43" s="1386"/>
      <c r="C43" s="1386"/>
      <c r="D43" s="183" t="s">
        <v>186</v>
      </c>
      <c r="E43" s="103">
        <v>5</v>
      </c>
      <c r="F43" s="539">
        <v>40.25</v>
      </c>
      <c r="G43" s="672">
        <f t="shared" si="2"/>
        <v>0.20125000000000001</v>
      </c>
    </row>
    <row r="44" spans="1:7" x14ac:dyDescent="0.35">
      <c r="A44" s="1386" t="s">
        <v>768</v>
      </c>
      <c r="B44" s="1386"/>
      <c r="C44" s="1386"/>
      <c r="D44" s="183" t="s">
        <v>186</v>
      </c>
      <c r="E44" s="103">
        <v>5</v>
      </c>
      <c r="F44" s="539">
        <v>420</v>
      </c>
      <c r="G44" s="672">
        <f t="shared" si="2"/>
        <v>2.1</v>
      </c>
    </row>
    <row r="45" spans="1:7" x14ac:dyDescent="0.35">
      <c r="A45" s="1386" t="s">
        <v>769</v>
      </c>
      <c r="B45" s="1386"/>
      <c r="C45" s="1386"/>
      <c r="D45" s="230" t="s">
        <v>677</v>
      </c>
      <c r="E45" s="103">
        <v>4</v>
      </c>
      <c r="F45" s="539">
        <v>2940.5499999999997</v>
      </c>
      <c r="G45" s="672">
        <f t="shared" si="2"/>
        <v>11.762199999999998</v>
      </c>
    </row>
    <row r="46" spans="1:7" x14ac:dyDescent="0.35">
      <c r="A46" s="1386" t="s">
        <v>770</v>
      </c>
      <c r="B46" s="1386"/>
      <c r="C46" s="1386"/>
      <c r="D46" s="231" t="s">
        <v>677</v>
      </c>
      <c r="E46" s="103">
        <v>4</v>
      </c>
      <c r="F46" s="539">
        <v>4499.95</v>
      </c>
      <c r="G46" s="672">
        <f t="shared" si="2"/>
        <v>17.9998</v>
      </c>
    </row>
    <row r="47" spans="1:7" x14ac:dyDescent="0.35">
      <c r="A47" s="1392">
        <v>2018</v>
      </c>
      <c r="B47" s="1392"/>
      <c r="C47" s="1392"/>
      <c r="D47" s="232"/>
      <c r="E47" s="232"/>
      <c r="F47" s="232"/>
      <c r="G47" s="106">
        <f>SUM(G3:G46)</f>
        <v>1371.1902500000001</v>
      </c>
    </row>
    <row r="48" spans="1:7" x14ac:dyDescent="0.35">
      <c r="A48" s="1392">
        <v>2019</v>
      </c>
      <c r="B48" s="1392"/>
      <c r="C48" s="1392"/>
      <c r="D48" s="232"/>
      <c r="E48" s="232"/>
      <c r="F48" s="232"/>
      <c r="G48" s="106">
        <f>G47*1.05</f>
        <v>1439.7497625000001</v>
      </c>
    </row>
    <row r="49" spans="1:8" x14ac:dyDescent="0.35">
      <c r="A49" s="1392">
        <v>2020</v>
      </c>
      <c r="B49" s="1392"/>
      <c r="C49" s="1392"/>
      <c r="D49" s="232"/>
      <c r="E49" s="232"/>
      <c r="F49" s="232"/>
      <c r="G49" s="106">
        <f t="shared" ref="G49:G51" si="3">G48*1.05</f>
        <v>1511.7372506250001</v>
      </c>
    </row>
    <row r="50" spans="1:8" x14ac:dyDescent="0.35">
      <c r="A50" s="1392">
        <v>2021</v>
      </c>
      <c r="B50" s="1392"/>
      <c r="C50" s="1392"/>
      <c r="D50" s="232"/>
      <c r="E50" s="232"/>
      <c r="F50" s="232"/>
      <c r="G50" s="106">
        <f t="shared" si="3"/>
        <v>1587.3241131562502</v>
      </c>
    </row>
    <row r="51" spans="1:8" x14ac:dyDescent="0.35">
      <c r="A51" s="1392">
        <v>2022</v>
      </c>
      <c r="B51" s="1392"/>
      <c r="C51" s="1392"/>
      <c r="D51" s="232"/>
      <c r="E51" s="232"/>
      <c r="F51" s="232"/>
      <c r="G51" s="106">
        <f t="shared" si="3"/>
        <v>1666.6903188140627</v>
      </c>
    </row>
    <row r="52" spans="1:8" x14ac:dyDescent="0.35">
      <c r="A52" s="434"/>
      <c r="B52" s="434"/>
      <c r="C52" s="434"/>
      <c r="D52" s="435"/>
      <c r="E52" s="435"/>
      <c r="F52" s="435"/>
      <c r="G52" s="435"/>
    </row>
    <row r="53" spans="1:8" x14ac:dyDescent="0.35">
      <c r="A53" s="41"/>
      <c r="B53" s="41" t="s">
        <v>969</v>
      </c>
      <c r="C53" s="41"/>
      <c r="D53" s="41" t="s">
        <v>963</v>
      </c>
      <c r="E53" s="41"/>
      <c r="F53" s="41"/>
      <c r="G53" s="41"/>
    </row>
    <row r="54" spans="1:8" x14ac:dyDescent="0.35">
      <c r="A54" s="1396" t="s">
        <v>1317</v>
      </c>
      <c r="B54" s="1396"/>
      <c r="C54" s="1396"/>
      <c r="D54" s="41"/>
      <c r="E54" s="41"/>
      <c r="F54" s="41"/>
      <c r="G54" s="41"/>
    </row>
    <row r="55" spans="1:8" x14ac:dyDescent="0.35">
      <c r="A55" s="41"/>
      <c r="B55" s="41"/>
      <c r="C55" s="41"/>
      <c r="D55" s="41"/>
      <c r="E55" s="41" t="s">
        <v>469</v>
      </c>
      <c r="F55" s="41"/>
      <c r="G55" s="41"/>
    </row>
    <row r="56" spans="1:8" ht="30" customHeight="1" x14ac:dyDescent="0.35">
      <c r="A56" s="1386"/>
      <c r="B56" s="1386"/>
      <c r="C56" s="1386"/>
      <c r="D56" s="232">
        <v>2018</v>
      </c>
      <c r="E56" s="193">
        <v>2019</v>
      </c>
      <c r="F56" s="193">
        <v>2020</v>
      </c>
      <c r="G56" s="193">
        <v>2021</v>
      </c>
      <c r="H56" s="193">
        <v>2022</v>
      </c>
    </row>
    <row r="57" spans="1:8" x14ac:dyDescent="0.35">
      <c r="A57" s="1386" t="s">
        <v>1315</v>
      </c>
      <c r="B57" s="1386"/>
      <c r="C57" s="1386"/>
      <c r="D57" s="103"/>
      <c r="E57" s="250">
        <f>3.616*67</f>
        <v>242.27200000000002</v>
      </c>
      <c r="F57" s="38"/>
      <c r="G57" s="250">
        <f>E57*1.05</f>
        <v>254.38560000000004</v>
      </c>
      <c r="H57" s="38"/>
    </row>
    <row r="58" spans="1:8" x14ac:dyDescent="0.35">
      <c r="A58" s="1386" t="s">
        <v>1318</v>
      </c>
      <c r="B58" s="1386"/>
      <c r="C58" s="1386"/>
      <c r="D58" s="562">
        <f>3.616*25</f>
        <v>90.4</v>
      </c>
      <c r="E58" s="38"/>
      <c r="F58" s="38">
        <f>D58*1.05</f>
        <v>94.920000000000016</v>
      </c>
      <c r="G58" s="38"/>
      <c r="H58" s="250">
        <f>F58*1.05</f>
        <v>99.666000000000025</v>
      </c>
    </row>
    <row r="59" spans="1:8" x14ac:dyDescent="0.35">
      <c r="A59" s="1386" t="s">
        <v>1319</v>
      </c>
      <c r="B59" s="1386"/>
      <c r="C59" s="1386"/>
      <c r="D59" s="562">
        <v>36</v>
      </c>
      <c r="E59" s="250">
        <f>D59*1.05</f>
        <v>37.800000000000004</v>
      </c>
      <c r="F59" s="250">
        <f t="shared" ref="F59:H59" si="4">E59*1.05</f>
        <v>39.690000000000005</v>
      </c>
      <c r="G59" s="250">
        <f t="shared" si="4"/>
        <v>41.674500000000009</v>
      </c>
      <c r="H59" s="250">
        <f t="shared" si="4"/>
        <v>43.75822500000001</v>
      </c>
    </row>
    <row r="60" spans="1:8" x14ac:dyDescent="0.35">
      <c r="A60" s="1403" t="s">
        <v>976</v>
      </c>
      <c r="B60" s="1404"/>
      <c r="C60" s="1405"/>
      <c r="D60" s="573">
        <f>SUM(D57:D59)</f>
        <v>126.4</v>
      </c>
      <c r="E60" s="573">
        <f t="shared" ref="E60:H60" si="5">SUM(E57:E59)</f>
        <v>280.072</v>
      </c>
      <c r="F60" s="573">
        <f t="shared" si="5"/>
        <v>134.61000000000001</v>
      </c>
      <c r="G60" s="573">
        <f t="shared" si="5"/>
        <v>296.06010000000003</v>
      </c>
      <c r="H60" s="573">
        <f t="shared" si="5"/>
        <v>143.42422500000004</v>
      </c>
    </row>
    <row r="61" spans="1:8" x14ac:dyDescent="0.35">
      <c r="A61" s="192"/>
      <c r="B61" s="192"/>
      <c r="C61" s="192"/>
      <c r="D61" s="192"/>
      <c r="E61" s="233"/>
    </row>
    <row r="62" spans="1:8" x14ac:dyDescent="0.35">
      <c r="A62" s="41" t="s">
        <v>969</v>
      </c>
      <c r="B62" s="41"/>
      <c r="C62" s="41" t="s">
        <v>963</v>
      </c>
      <c r="D62" s="41"/>
      <c r="E62" s="233"/>
      <c r="F62" s="233"/>
      <c r="G62" s="233"/>
    </row>
    <row r="63" spans="1:8" x14ac:dyDescent="0.35">
      <c r="A63" s="41"/>
      <c r="B63" s="41"/>
      <c r="C63" s="41"/>
      <c r="D63" s="41"/>
      <c r="E63" s="233"/>
      <c r="F63" s="233"/>
      <c r="G63" s="233"/>
    </row>
    <row r="64" spans="1:8" x14ac:dyDescent="0.35">
      <c r="A64" s="41"/>
      <c r="B64" s="41"/>
      <c r="C64" s="41"/>
      <c r="D64" s="41"/>
      <c r="E64" s="233"/>
      <c r="F64" s="233"/>
      <c r="G64" s="233"/>
    </row>
    <row r="65" spans="1:9" x14ac:dyDescent="0.35">
      <c r="A65" s="41"/>
      <c r="B65" s="41"/>
      <c r="C65" s="233" t="s">
        <v>773</v>
      </c>
      <c r="D65" s="41"/>
      <c r="E65" s="41" t="s">
        <v>469</v>
      </c>
      <c r="F65" s="41"/>
      <c r="G65" s="41"/>
    </row>
    <row r="66" spans="1:9" ht="29" x14ac:dyDescent="0.35">
      <c r="A66" s="1387"/>
      <c r="B66" s="1389"/>
      <c r="C66" s="641"/>
      <c r="D66" s="104" t="s">
        <v>1320</v>
      </c>
      <c r="E66" s="232">
        <v>2018</v>
      </c>
      <c r="F66" s="193">
        <v>2019</v>
      </c>
      <c r="G66" s="193">
        <v>2020</v>
      </c>
      <c r="H66" s="193">
        <v>2021</v>
      </c>
      <c r="I66" s="193">
        <v>2022</v>
      </c>
    </row>
    <row r="67" spans="1:9" x14ac:dyDescent="0.35">
      <c r="A67" s="1386" t="s">
        <v>1316</v>
      </c>
      <c r="B67" s="1386"/>
      <c r="C67" s="103" t="s">
        <v>774</v>
      </c>
      <c r="D67" s="103">
        <v>12</v>
      </c>
      <c r="E67" s="673">
        <v>50.4</v>
      </c>
      <c r="F67" s="103"/>
      <c r="G67" s="562">
        <f>E67*1.05*1.05</f>
        <v>55.566000000000003</v>
      </c>
      <c r="H67" s="562"/>
      <c r="I67" s="562">
        <f>G67*1.05*1.05</f>
        <v>61.26151500000001</v>
      </c>
    </row>
    <row r="68" spans="1:9" ht="14.5" customHeight="1" x14ac:dyDescent="0.35">
      <c r="A68" s="1391" t="s">
        <v>777</v>
      </c>
      <c r="B68" s="1391"/>
      <c r="C68" s="103" t="s">
        <v>847</v>
      </c>
      <c r="D68" s="103">
        <v>53</v>
      </c>
      <c r="E68" s="673">
        <v>63.6</v>
      </c>
      <c r="F68" s="103"/>
      <c r="G68" s="562">
        <f t="shared" ref="G68:G80" si="6">E68*1.05*1.05</f>
        <v>70.119</v>
      </c>
      <c r="H68" s="562"/>
      <c r="I68" s="562">
        <f t="shared" ref="I68:I80" si="7">G68*1.05*1.05</f>
        <v>77.306197499999996</v>
      </c>
    </row>
    <row r="69" spans="1:9" ht="20" customHeight="1" x14ac:dyDescent="0.35">
      <c r="A69" s="1391" t="s">
        <v>777</v>
      </c>
      <c r="B69" s="1391"/>
      <c r="C69" s="103" t="s">
        <v>775</v>
      </c>
      <c r="D69" s="103">
        <v>53</v>
      </c>
      <c r="E69" s="103">
        <v>222.6</v>
      </c>
      <c r="F69" s="103">
        <f t="shared" ref="F69:F80" si="8">E69*1.05</f>
        <v>233.73</v>
      </c>
      <c r="G69" s="562">
        <f t="shared" si="6"/>
        <v>245.41650000000001</v>
      </c>
      <c r="H69" s="562">
        <f t="shared" ref="H69" si="9">G69*1.05</f>
        <v>257.68732500000004</v>
      </c>
      <c r="I69" s="562">
        <f t="shared" si="7"/>
        <v>270.57169125000007</v>
      </c>
    </row>
    <row r="70" spans="1:9" ht="20.5" customHeight="1" x14ac:dyDescent="0.35">
      <c r="A70" s="1391" t="s">
        <v>777</v>
      </c>
      <c r="B70" s="1391"/>
      <c r="C70" s="103" t="s">
        <v>848</v>
      </c>
      <c r="D70" s="103">
        <v>10</v>
      </c>
      <c r="E70" s="103">
        <v>38</v>
      </c>
      <c r="F70" s="103">
        <f t="shared" si="8"/>
        <v>39.9</v>
      </c>
      <c r="G70" s="562">
        <f t="shared" si="6"/>
        <v>41.895000000000003</v>
      </c>
      <c r="H70" s="562">
        <f t="shared" ref="H70" si="10">G70*1.05</f>
        <v>43.989750000000008</v>
      </c>
      <c r="I70" s="562">
        <f t="shared" si="7"/>
        <v>46.189237500000011</v>
      </c>
    </row>
    <row r="71" spans="1:9" ht="20" customHeight="1" x14ac:dyDescent="0.35">
      <c r="A71" s="1391" t="s">
        <v>777</v>
      </c>
      <c r="B71" s="1391"/>
      <c r="C71" s="103" t="s">
        <v>776</v>
      </c>
      <c r="D71" s="103">
        <v>53</v>
      </c>
      <c r="E71" s="673">
        <v>296.8</v>
      </c>
      <c r="F71" s="103"/>
      <c r="G71" s="562">
        <f t="shared" si="6"/>
        <v>327.22200000000004</v>
      </c>
      <c r="H71" s="562"/>
      <c r="I71" s="562">
        <f t="shared" si="7"/>
        <v>360.7622550000001</v>
      </c>
    </row>
    <row r="72" spans="1:9" ht="20.5" customHeight="1" x14ac:dyDescent="0.35">
      <c r="A72" s="1391" t="s">
        <v>777</v>
      </c>
      <c r="B72" s="1391"/>
      <c r="C72" s="103" t="s">
        <v>970</v>
      </c>
      <c r="D72" s="103">
        <v>53</v>
      </c>
      <c r="E72" s="673">
        <v>32.799999999999997</v>
      </c>
      <c r="F72" s="103"/>
      <c r="G72" s="562">
        <f t="shared" si="6"/>
        <v>36.161999999999999</v>
      </c>
      <c r="H72" s="562"/>
      <c r="I72" s="562">
        <f t="shared" si="7"/>
        <v>39.868605000000002</v>
      </c>
    </row>
    <row r="73" spans="1:9" ht="23" customHeight="1" x14ac:dyDescent="0.35">
      <c r="A73" s="1391" t="s">
        <v>777</v>
      </c>
      <c r="B73" s="1391"/>
      <c r="C73" s="103" t="s">
        <v>778</v>
      </c>
      <c r="D73" s="103">
        <v>53</v>
      </c>
      <c r="E73" s="673">
        <v>164.3</v>
      </c>
      <c r="F73" s="103"/>
      <c r="G73" s="562">
        <f t="shared" si="6"/>
        <v>181.14075000000003</v>
      </c>
      <c r="H73" s="562"/>
      <c r="I73" s="562">
        <f t="shared" si="7"/>
        <v>199.70767687500003</v>
      </c>
    </row>
    <row r="74" spans="1:9" ht="23" customHeight="1" x14ac:dyDescent="0.35">
      <c r="A74" s="1391" t="s">
        <v>777</v>
      </c>
      <c r="B74" s="1391"/>
      <c r="C74" s="103" t="s">
        <v>779</v>
      </c>
      <c r="D74" s="103">
        <v>53</v>
      </c>
      <c r="E74" s="103">
        <v>148.4</v>
      </c>
      <c r="F74" s="103">
        <f t="shared" si="8"/>
        <v>155.82000000000002</v>
      </c>
      <c r="G74" s="562">
        <f t="shared" si="6"/>
        <v>163.61100000000002</v>
      </c>
      <c r="H74" s="562">
        <f t="shared" ref="H74" si="11">G74*1.05</f>
        <v>171.79155000000003</v>
      </c>
      <c r="I74" s="562">
        <f t="shared" si="7"/>
        <v>180.38112750000005</v>
      </c>
    </row>
    <row r="75" spans="1:9" ht="31" customHeight="1" x14ac:dyDescent="0.35">
      <c r="A75" s="1391" t="s">
        <v>777</v>
      </c>
      <c r="B75" s="1391"/>
      <c r="C75" s="104" t="s">
        <v>849</v>
      </c>
      <c r="D75" s="103">
        <v>60</v>
      </c>
      <c r="E75" s="103">
        <v>18.3</v>
      </c>
      <c r="F75" s="103">
        <f t="shared" si="8"/>
        <v>19.215</v>
      </c>
      <c r="G75" s="562">
        <f t="shared" si="6"/>
        <v>20.175750000000001</v>
      </c>
      <c r="H75" s="562">
        <f t="shared" ref="H75" si="12">G75*1.05</f>
        <v>21.184537500000001</v>
      </c>
      <c r="I75" s="562">
        <f t="shared" si="7"/>
        <v>22.243764375000001</v>
      </c>
    </row>
    <row r="76" spans="1:9" ht="20.5" customHeight="1" x14ac:dyDescent="0.35">
      <c r="A76" s="1391" t="s">
        <v>777</v>
      </c>
      <c r="B76" s="1391"/>
      <c r="C76" s="103" t="s">
        <v>850</v>
      </c>
      <c r="D76" s="103">
        <v>40</v>
      </c>
      <c r="E76" s="673">
        <v>26</v>
      </c>
      <c r="F76" s="103"/>
      <c r="G76" s="562">
        <f t="shared" si="6"/>
        <v>28.665000000000003</v>
      </c>
      <c r="H76" s="562"/>
      <c r="I76" s="562">
        <f t="shared" si="7"/>
        <v>31.603162500000007</v>
      </c>
    </row>
    <row r="77" spans="1:9" ht="25" customHeight="1" x14ac:dyDescent="0.35">
      <c r="A77" s="1391" t="s">
        <v>777</v>
      </c>
      <c r="B77" s="1391"/>
      <c r="C77" s="104" t="s">
        <v>851</v>
      </c>
      <c r="D77" s="103">
        <v>10</v>
      </c>
      <c r="E77" s="103">
        <v>6.5</v>
      </c>
      <c r="F77" s="103">
        <f t="shared" si="8"/>
        <v>6.8250000000000002</v>
      </c>
      <c r="G77" s="562">
        <f t="shared" si="6"/>
        <v>7.1662500000000007</v>
      </c>
      <c r="H77" s="562">
        <f t="shared" ref="H77" si="13">G77*1.05</f>
        <v>7.5245625000000009</v>
      </c>
      <c r="I77" s="562">
        <f t="shared" si="7"/>
        <v>7.9007906250000017</v>
      </c>
    </row>
    <row r="78" spans="1:9" ht="42" customHeight="1" x14ac:dyDescent="0.35">
      <c r="A78" s="1397" t="s">
        <v>843</v>
      </c>
      <c r="B78" s="1398"/>
      <c r="C78" s="104" t="s">
        <v>846</v>
      </c>
      <c r="D78" s="103">
        <v>1</v>
      </c>
      <c r="E78" s="103">
        <v>2.5</v>
      </c>
      <c r="F78" s="103">
        <f t="shared" si="8"/>
        <v>2.625</v>
      </c>
      <c r="G78" s="562">
        <f t="shared" si="6"/>
        <v>2.7562500000000001</v>
      </c>
      <c r="H78" s="562">
        <f t="shared" ref="H78" si="14">G78*1.05</f>
        <v>2.8940625000000004</v>
      </c>
      <c r="I78" s="562">
        <f t="shared" si="7"/>
        <v>3.0387656250000004</v>
      </c>
    </row>
    <row r="79" spans="1:9" ht="36" customHeight="1" x14ac:dyDescent="0.35">
      <c r="A79" s="1397" t="s">
        <v>844</v>
      </c>
      <c r="B79" s="1398"/>
      <c r="C79" s="104" t="s">
        <v>845</v>
      </c>
      <c r="D79" s="103">
        <v>1</v>
      </c>
      <c r="E79" s="103">
        <v>2</v>
      </c>
      <c r="F79" s="103">
        <f t="shared" si="8"/>
        <v>2.1</v>
      </c>
      <c r="G79" s="562">
        <f t="shared" si="6"/>
        <v>2.2050000000000001</v>
      </c>
      <c r="H79" s="562">
        <f t="shared" ref="H79" si="15">G79*1.05</f>
        <v>2.3152500000000003</v>
      </c>
      <c r="I79" s="562">
        <f t="shared" si="7"/>
        <v>2.4310125000000005</v>
      </c>
    </row>
    <row r="80" spans="1:9" x14ac:dyDescent="0.35">
      <c r="A80" s="1386" t="s">
        <v>780</v>
      </c>
      <c r="B80" s="1386"/>
      <c r="C80" s="103" t="s">
        <v>1321</v>
      </c>
      <c r="D80" s="103">
        <v>1</v>
      </c>
      <c r="E80" s="103">
        <v>9.6</v>
      </c>
      <c r="F80" s="103">
        <f t="shared" si="8"/>
        <v>10.08</v>
      </c>
      <c r="G80" s="562">
        <f t="shared" si="6"/>
        <v>10.584000000000001</v>
      </c>
      <c r="H80" s="562">
        <f t="shared" ref="H80" si="16">G80*1.05</f>
        <v>11.113200000000003</v>
      </c>
      <c r="I80" s="562">
        <f t="shared" si="7"/>
        <v>11.668860000000004</v>
      </c>
    </row>
    <row r="81" spans="1:9" x14ac:dyDescent="0.35">
      <c r="A81" s="103"/>
      <c r="B81" s="103" t="s">
        <v>15</v>
      </c>
      <c r="C81" s="103"/>
      <c r="D81" s="103"/>
      <c r="E81" s="106">
        <f>E67+E68+E69+E70+E71+E72+E73+E74+E75+E76+E77+E78+E79+E80</f>
        <v>1081.8</v>
      </c>
      <c r="F81" s="106">
        <f t="shared" ref="F81:I81" si="17">F67+F68+F69+F70+F71+F72+F73+F74+F75+F76+F77+F78+F79+F80</f>
        <v>470.29500000000002</v>
      </c>
      <c r="G81" s="106">
        <f t="shared" si="17"/>
        <v>1192.6845000000001</v>
      </c>
      <c r="H81" s="106">
        <f t="shared" si="17"/>
        <v>518.50023750000003</v>
      </c>
      <c r="I81" s="106">
        <f t="shared" si="17"/>
        <v>1314.9346612500001</v>
      </c>
    </row>
    <row r="82" spans="1:9" x14ac:dyDescent="0.35">
      <c r="A82" s="41"/>
      <c r="B82" s="41"/>
      <c r="C82" s="41"/>
      <c r="D82" s="41"/>
      <c r="E82" s="234"/>
      <c r="F82" s="234"/>
    </row>
    <row r="83" spans="1:9" x14ac:dyDescent="0.35">
      <c r="A83" s="41"/>
      <c r="B83" s="41" t="s">
        <v>10</v>
      </c>
      <c r="C83" s="41"/>
      <c r="D83" s="41" t="s">
        <v>968</v>
      </c>
      <c r="E83" s="41"/>
      <c r="F83" s="41"/>
    </row>
    <row r="84" spans="1:9" x14ac:dyDescent="0.35">
      <c r="A84" s="41"/>
      <c r="B84" s="41"/>
      <c r="C84" s="41"/>
      <c r="D84" s="41"/>
      <c r="E84" s="41"/>
      <c r="F84" s="41"/>
    </row>
    <row r="86" spans="1:9" ht="18.5" x14ac:dyDescent="0.45">
      <c r="B86" s="496" t="s">
        <v>1002</v>
      </c>
    </row>
    <row r="87" spans="1:9" x14ac:dyDescent="0.35">
      <c r="F87" s="41" t="s">
        <v>469</v>
      </c>
    </row>
    <row r="88" spans="1:9" x14ac:dyDescent="0.35">
      <c r="A88" s="1400" t="s">
        <v>110</v>
      </c>
      <c r="B88" s="1401"/>
      <c r="C88" s="38" t="s">
        <v>611</v>
      </c>
      <c r="D88" s="497" t="s">
        <v>1008</v>
      </c>
      <c r="E88" s="1399" t="s">
        <v>1003</v>
      </c>
      <c r="F88" s="1399"/>
    </row>
    <row r="89" spans="1:9" x14ac:dyDescent="0.35">
      <c r="A89" s="1400" t="s">
        <v>1004</v>
      </c>
      <c r="B89" s="1401"/>
      <c r="C89" s="38">
        <v>24</v>
      </c>
      <c r="D89" s="497">
        <v>65</v>
      </c>
      <c r="E89" s="1399">
        <f>C89*D89/1000</f>
        <v>1.56</v>
      </c>
      <c r="F89" s="1399"/>
    </row>
    <row r="90" spans="1:9" x14ac:dyDescent="0.35">
      <c r="A90" s="1400" t="s">
        <v>1005</v>
      </c>
      <c r="B90" s="1401"/>
      <c r="C90" s="38">
        <v>24</v>
      </c>
      <c r="D90" s="497">
        <v>180</v>
      </c>
      <c r="E90" s="1399">
        <f t="shared" ref="E90:E96" si="18">C90*D90/1000</f>
        <v>4.32</v>
      </c>
      <c r="F90" s="1399"/>
    </row>
    <row r="91" spans="1:9" x14ac:dyDescent="0.35">
      <c r="A91" s="1400" t="s">
        <v>1006</v>
      </c>
      <c r="B91" s="1401"/>
      <c r="C91" s="38">
        <v>12</v>
      </c>
      <c r="D91" s="497">
        <v>85</v>
      </c>
      <c r="E91" s="1399">
        <f t="shared" si="18"/>
        <v>1.02</v>
      </c>
      <c r="F91" s="1399"/>
    </row>
    <row r="92" spans="1:9" x14ac:dyDescent="0.35">
      <c r="A92" s="1400" t="s">
        <v>1007</v>
      </c>
      <c r="B92" s="1401"/>
      <c r="C92" s="38">
        <v>6</v>
      </c>
      <c r="D92" s="497">
        <v>350</v>
      </c>
      <c r="E92" s="1399">
        <f t="shared" si="18"/>
        <v>2.1</v>
      </c>
      <c r="F92" s="1399"/>
    </row>
    <row r="93" spans="1:9" x14ac:dyDescent="0.35">
      <c r="A93" s="1400" t="s">
        <v>1010</v>
      </c>
      <c r="B93" s="1401"/>
      <c r="C93" s="38">
        <v>12</v>
      </c>
      <c r="D93" s="497">
        <v>220</v>
      </c>
      <c r="E93" s="1399">
        <f t="shared" si="18"/>
        <v>2.64</v>
      </c>
      <c r="F93" s="1399"/>
    </row>
    <row r="94" spans="1:9" x14ac:dyDescent="0.35">
      <c r="A94" s="1400" t="s">
        <v>1009</v>
      </c>
      <c r="B94" s="1401"/>
      <c r="C94" s="38">
        <v>24</v>
      </c>
      <c r="D94" s="497">
        <v>92</v>
      </c>
      <c r="E94" s="1399">
        <f t="shared" si="18"/>
        <v>2.2080000000000002</v>
      </c>
      <c r="F94" s="1399"/>
    </row>
    <row r="95" spans="1:9" x14ac:dyDescent="0.35">
      <c r="A95" s="1399" t="s">
        <v>1011</v>
      </c>
      <c r="B95" s="1399"/>
      <c r="C95" s="38">
        <v>53</v>
      </c>
      <c r="D95" s="239">
        <v>33</v>
      </c>
      <c r="E95" s="1399">
        <f t="shared" si="18"/>
        <v>1.7490000000000001</v>
      </c>
      <c r="F95" s="1399"/>
    </row>
    <row r="96" spans="1:9" x14ac:dyDescent="0.35">
      <c r="A96" s="1399" t="s">
        <v>1322</v>
      </c>
      <c r="B96" s="1399"/>
      <c r="C96" s="38">
        <v>1272</v>
      </c>
      <c r="D96" s="239">
        <v>35</v>
      </c>
      <c r="E96" s="1399">
        <f t="shared" si="18"/>
        <v>44.52</v>
      </c>
      <c r="F96" s="1399"/>
    </row>
    <row r="97" spans="1:6" x14ac:dyDescent="0.35">
      <c r="A97" s="1399" t="s">
        <v>189</v>
      </c>
      <c r="B97" s="1399"/>
      <c r="C97" s="38"/>
      <c r="D97" s="239"/>
      <c r="E97" s="1402">
        <f>SUM(E89:E96)</f>
        <v>60.117000000000004</v>
      </c>
      <c r="F97" s="1402"/>
    </row>
    <row r="98" spans="1:6" x14ac:dyDescent="0.35">
      <c r="A98" s="628"/>
      <c r="B98" s="628"/>
      <c r="C98" s="29"/>
      <c r="D98" s="239" t="s">
        <v>1323</v>
      </c>
      <c r="E98" s="1402">
        <v>60.12</v>
      </c>
      <c r="F98" s="1402"/>
    </row>
    <row r="99" spans="1:6" x14ac:dyDescent="0.35">
      <c r="A99" s="628"/>
      <c r="B99" s="628"/>
      <c r="C99" s="29"/>
      <c r="D99" s="239" t="s">
        <v>1304</v>
      </c>
      <c r="E99" s="1402">
        <f>E98*1.05</f>
        <v>63.125999999999998</v>
      </c>
      <c r="F99" s="1402"/>
    </row>
    <row r="100" spans="1:6" x14ac:dyDescent="0.35">
      <c r="A100" s="628"/>
      <c r="B100" s="628"/>
      <c r="C100" s="29"/>
      <c r="D100" s="239" t="s">
        <v>1305</v>
      </c>
      <c r="E100" s="1402">
        <f t="shared" ref="E100:E102" si="19">E99*1.05</f>
        <v>66.282300000000006</v>
      </c>
      <c r="F100" s="1402"/>
    </row>
    <row r="101" spans="1:6" x14ac:dyDescent="0.35">
      <c r="A101" s="628"/>
      <c r="B101" s="628"/>
      <c r="C101" s="29"/>
      <c r="D101" s="239" t="s">
        <v>1306</v>
      </c>
      <c r="E101" s="1402">
        <f t="shared" si="19"/>
        <v>69.596415000000007</v>
      </c>
      <c r="F101" s="1402"/>
    </row>
    <row r="102" spans="1:6" x14ac:dyDescent="0.35">
      <c r="A102" s="628"/>
      <c r="B102" s="628"/>
      <c r="C102" s="29"/>
      <c r="D102" s="239" t="s">
        <v>1307</v>
      </c>
      <c r="E102" s="1402">
        <f t="shared" si="19"/>
        <v>73.076235750000009</v>
      </c>
      <c r="F102" s="1402"/>
    </row>
    <row r="104" spans="1:6" x14ac:dyDescent="0.35">
      <c r="B104" t="s">
        <v>10</v>
      </c>
      <c r="D104" t="s">
        <v>1012</v>
      </c>
    </row>
  </sheetData>
  <mergeCells count="97">
    <mergeCell ref="E100:F100"/>
    <mergeCell ref="E101:F101"/>
    <mergeCell ref="E102:F102"/>
    <mergeCell ref="A60:C60"/>
    <mergeCell ref="A1:G1"/>
    <mergeCell ref="A66:B66"/>
    <mergeCell ref="E98:F98"/>
    <mergeCell ref="E99:F99"/>
    <mergeCell ref="A95:B95"/>
    <mergeCell ref="E95:F95"/>
    <mergeCell ref="A97:B97"/>
    <mergeCell ref="E97:F97"/>
    <mergeCell ref="A96:B96"/>
    <mergeCell ref="E96:F96"/>
    <mergeCell ref="A94:B94"/>
    <mergeCell ref="E88:F88"/>
    <mergeCell ref="E94:F94"/>
    <mergeCell ref="A91:B91"/>
    <mergeCell ref="A92:B92"/>
    <mergeCell ref="A93:B93"/>
    <mergeCell ref="A88:B88"/>
    <mergeCell ref="A89:B89"/>
    <mergeCell ref="A90:B90"/>
    <mergeCell ref="E89:F89"/>
    <mergeCell ref="E90:F90"/>
    <mergeCell ref="E91:F91"/>
    <mergeCell ref="E92:F92"/>
    <mergeCell ref="E93:F93"/>
    <mergeCell ref="A50:C50"/>
    <mergeCell ref="A51:C51"/>
    <mergeCell ref="A80:B80"/>
    <mergeCell ref="A67:B67"/>
    <mergeCell ref="A69:B69"/>
    <mergeCell ref="A71:B71"/>
    <mergeCell ref="A73:B73"/>
    <mergeCell ref="A74:B74"/>
    <mergeCell ref="A78:B78"/>
    <mergeCell ref="A79:B79"/>
    <mergeCell ref="A68:B68"/>
    <mergeCell ref="A70:B70"/>
    <mergeCell ref="A75:B75"/>
    <mergeCell ref="A76:B76"/>
    <mergeCell ref="A77:B77"/>
    <mergeCell ref="A72:B72"/>
    <mergeCell ref="A45:C45"/>
    <mergeCell ref="A46:C46"/>
    <mergeCell ref="A47:C47"/>
    <mergeCell ref="A48:C48"/>
    <mergeCell ref="A49:C49"/>
    <mergeCell ref="A58:C58"/>
    <mergeCell ref="A23:C23"/>
    <mergeCell ref="A24:C24"/>
    <mergeCell ref="A20:C20"/>
    <mergeCell ref="A21:C21"/>
    <mergeCell ref="A38:C38"/>
    <mergeCell ref="A30:C30"/>
    <mergeCell ref="A36:C36"/>
    <mergeCell ref="A37:C37"/>
    <mergeCell ref="A56:C56"/>
    <mergeCell ref="A57:C57"/>
    <mergeCell ref="A39:C39"/>
    <mergeCell ref="A40:C40"/>
    <mergeCell ref="A54:C54"/>
    <mergeCell ref="A43:C43"/>
    <mergeCell ref="A44:C44"/>
    <mergeCell ref="A3:C3"/>
    <mergeCell ref="A4:C4"/>
    <mergeCell ref="A5:C5"/>
    <mergeCell ref="A2:C2"/>
    <mergeCell ref="A6:C6"/>
    <mergeCell ref="A9:C9"/>
    <mergeCell ref="A10:C10"/>
    <mergeCell ref="A11:C11"/>
    <mergeCell ref="A12:C12"/>
    <mergeCell ref="A7:C7"/>
    <mergeCell ref="A8:C8"/>
    <mergeCell ref="A13:C13"/>
    <mergeCell ref="A14:C14"/>
    <mergeCell ref="A15:C15"/>
    <mergeCell ref="A16:C16"/>
    <mergeCell ref="A17:C17"/>
    <mergeCell ref="A18:C18"/>
    <mergeCell ref="A19:C19"/>
    <mergeCell ref="A22:C22"/>
    <mergeCell ref="A59:C59"/>
    <mergeCell ref="A42:C42"/>
    <mergeCell ref="A34:C34"/>
    <mergeCell ref="A35:C35"/>
    <mergeCell ref="A25:C25"/>
    <mergeCell ref="A26:C26"/>
    <mergeCell ref="A27:C27"/>
    <mergeCell ref="A28:C28"/>
    <mergeCell ref="A29:C29"/>
    <mergeCell ref="A31:C31"/>
    <mergeCell ref="A32:C32"/>
    <mergeCell ref="A33:C33"/>
    <mergeCell ref="A41:C4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topLeftCell="A52" workbookViewId="0">
      <selection activeCell="A69" sqref="A69:F69"/>
    </sheetView>
  </sheetViews>
  <sheetFormatPr defaultRowHeight="13" x14ac:dyDescent="0.3"/>
  <cols>
    <col min="1" max="16384" width="8.7265625" style="45"/>
  </cols>
  <sheetData>
    <row r="2" spans="1:13" x14ac:dyDescent="0.3">
      <c r="A2" s="285"/>
      <c r="B2" s="642" t="s">
        <v>678</v>
      </c>
      <c r="C2" s="642"/>
      <c r="D2" s="642"/>
      <c r="E2" s="642"/>
      <c r="F2" s="285"/>
      <c r="G2" s="285"/>
      <c r="H2" s="42"/>
      <c r="I2" s="42"/>
      <c r="J2" s="42"/>
      <c r="K2" s="42"/>
      <c r="L2" s="42"/>
      <c r="M2" s="42"/>
    </row>
    <row r="3" spans="1:13" x14ac:dyDescent="0.3">
      <c r="A3" s="285"/>
      <c r="B3" s="642"/>
      <c r="C3" s="643"/>
      <c r="D3" s="642"/>
      <c r="E3" s="642"/>
      <c r="F3" s="285"/>
      <c r="G3" s="285"/>
      <c r="H3" s="285"/>
      <c r="I3" s="285"/>
      <c r="J3" s="285"/>
      <c r="K3" s="42"/>
      <c r="L3" s="42"/>
      <c r="M3" s="42"/>
    </row>
    <row r="4" spans="1:13" x14ac:dyDescent="0.3">
      <c r="A4" s="285"/>
      <c r="B4" s="376" t="s">
        <v>679</v>
      </c>
      <c r="C4" s="285"/>
      <c r="D4" s="285"/>
      <c r="E4" s="285"/>
      <c r="F4" s="285"/>
      <c r="G4" s="285"/>
      <c r="H4" s="42"/>
      <c r="I4" s="42"/>
      <c r="J4" s="42"/>
      <c r="K4" s="42"/>
      <c r="L4" s="42"/>
      <c r="M4" s="42"/>
    </row>
    <row r="5" spans="1:13" x14ac:dyDescent="0.3">
      <c r="A5" s="285"/>
      <c r="B5" s="1409" t="s">
        <v>680</v>
      </c>
      <c r="C5" s="1410"/>
      <c r="D5" s="1411"/>
      <c r="E5" s="644">
        <f>58*1.1</f>
        <v>63.800000000000004</v>
      </c>
      <c r="F5" s="645" t="s">
        <v>295</v>
      </c>
      <c r="G5" s="645" t="s">
        <v>681</v>
      </c>
      <c r="H5" s="42"/>
      <c r="I5" s="42"/>
      <c r="J5" s="42"/>
      <c r="K5" s="42"/>
      <c r="L5" s="42"/>
      <c r="M5" s="42"/>
    </row>
    <row r="6" spans="1:13" x14ac:dyDescent="0.3">
      <c r="A6" s="285"/>
      <c r="B6" s="1409" t="s">
        <v>682</v>
      </c>
      <c r="C6" s="1410"/>
      <c r="D6" s="1411"/>
      <c r="E6" s="644">
        <f>37.83*1.1</f>
        <v>41.613</v>
      </c>
      <c r="F6" s="645" t="s">
        <v>295</v>
      </c>
      <c r="G6" s="645" t="s">
        <v>681</v>
      </c>
      <c r="H6" s="42"/>
      <c r="I6" s="42"/>
      <c r="J6" s="42"/>
      <c r="K6" s="42"/>
      <c r="L6" s="42"/>
      <c r="M6" s="42"/>
    </row>
    <row r="7" spans="1:13" x14ac:dyDescent="0.3">
      <c r="A7" s="285"/>
      <c r="B7" s="1409" t="s">
        <v>683</v>
      </c>
      <c r="C7" s="1410"/>
      <c r="D7" s="1411"/>
      <c r="E7" s="644">
        <f>47.52*1.1</f>
        <v>52.272000000000006</v>
      </c>
      <c r="F7" s="645" t="s">
        <v>295</v>
      </c>
      <c r="G7" s="645" t="s">
        <v>681</v>
      </c>
      <c r="H7" s="42"/>
      <c r="I7" s="42"/>
      <c r="J7" s="42"/>
      <c r="K7" s="42"/>
      <c r="L7" s="42"/>
      <c r="M7" s="42"/>
    </row>
    <row r="8" spans="1:13" x14ac:dyDescent="0.3">
      <c r="A8" s="285"/>
      <c r="B8" s="1409" t="s">
        <v>684</v>
      </c>
      <c r="C8" s="1410"/>
      <c r="D8" s="1411"/>
      <c r="E8" s="644">
        <f>68.04*1.1</f>
        <v>74.844000000000008</v>
      </c>
      <c r="F8" s="645" t="s">
        <v>295</v>
      </c>
      <c r="G8" s="645" t="s">
        <v>685</v>
      </c>
      <c r="H8" s="42"/>
      <c r="I8" s="42"/>
      <c r="J8" s="42"/>
      <c r="K8" s="42"/>
      <c r="L8" s="42"/>
      <c r="M8" s="42"/>
    </row>
    <row r="9" spans="1:13" x14ac:dyDescent="0.3">
      <c r="A9" s="646"/>
      <c r="B9" s="647"/>
      <c r="C9" s="647"/>
      <c r="D9" s="647"/>
      <c r="E9" s="647"/>
      <c r="F9" s="647"/>
      <c r="G9" s="647"/>
      <c r="H9" s="648"/>
      <c r="I9" s="646"/>
      <c r="J9" s="646"/>
      <c r="K9" s="646"/>
      <c r="L9" s="646"/>
      <c r="M9" s="646"/>
    </row>
    <row r="10" spans="1:13" x14ac:dyDescent="0.3">
      <c r="A10" s="649"/>
      <c r="B10" s="650"/>
      <c r="C10" s="650"/>
      <c r="D10" s="647"/>
      <c r="E10" s="647"/>
      <c r="F10" s="647"/>
      <c r="G10" s="647"/>
      <c r="H10" s="648" t="s">
        <v>686</v>
      </c>
      <c r="I10" s="651"/>
      <c r="J10" s="651"/>
      <c r="K10" s="651"/>
      <c r="L10" s="651"/>
      <c r="M10" s="652" t="s">
        <v>469</v>
      </c>
    </row>
    <row r="11" spans="1:13" x14ac:dyDescent="0.3">
      <c r="A11" s="1418" t="s">
        <v>687</v>
      </c>
      <c r="B11" s="1418"/>
      <c r="C11" s="1418"/>
      <c r="D11" s="1415" t="s">
        <v>688</v>
      </c>
      <c r="E11" s="1418" t="s">
        <v>689</v>
      </c>
      <c r="F11" s="1418"/>
      <c r="G11" s="1418"/>
      <c r="H11" s="1418"/>
      <c r="I11" s="1421" t="s">
        <v>690</v>
      </c>
      <c r="J11" s="1421"/>
      <c r="K11" s="1421"/>
      <c r="L11" s="1421"/>
      <c r="M11" s="1444" t="s">
        <v>691</v>
      </c>
    </row>
    <row r="12" spans="1:13" x14ac:dyDescent="0.3">
      <c r="A12" s="1418"/>
      <c r="B12" s="1418"/>
      <c r="C12" s="1418"/>
      <c r="D12" s="1415"/>
      <c r="E12" s="185" t="s">
        <v>692</v>
      </c>
      <c r="F12" s="185" t="s">
        <v>693</v>
      </c>
      <c r="G12" s="185" t="s">
        <v>694</v>
      </c>
      <c r="H12" s="185" t="s">
        <v>695</v>
      </c>
      <c r="I12" s="185" t="s">
        <v>692</v>
      </c>
      <c r="J12" s="185" t="s">
        <v>693</v>
      </c>
      <c r="K12" s="185" t="s">
        <v>694</v>
      </c>
      <c r="L12" s="185" t="s">
        <v>695</v>
      </c>
      <c r="M12" s="1444"/>
    </row>
    <row r="13" spans="1:13" x14ac:dyDescent="0.3">
      <c r="A13" s="1414" t="s">
        <v>696</v>
      </c>
      <c r="B13" s="1414"/>
      <c r="C13" s="1414"/>
      <c r="D13" s="653">
        <v>221</v>
      </c>
      <c r="E13" s="654">
        <v>2.64</v>
      </c>
      <c r="F13" s="654">
        <v>0.24</v>
      </c>
      <c r="G13" s="654">
        <v>0.06</v>
      </c>
      <c r="H13" s="654">
        <v>0.2</v>
      </c>
      <c r="I13" s="655">
        <f>(D13/100*E13*E5)/1000</f>
        <v>0.37223472000000002</v>
      </c>
      <c r="J13" s="655">
        <f>(D13/100*F13*E7)/1000</f>
        <v>2.7725068800000002E-2</v>
      </c>
      <c r="K13" s="655">
        <f>(D13/100*G13*E6)/1000</f>
        <v>5.5178837999999997E-3</v>
      </c>
      <c r="L13" s="655">
        <f>(D13/100*H13*E8)/1000</f>
        <v>3.3081048000000002E-2</v>
      </c>
      <c r="M13" s="656">
        <f t="shared" ref="M13:M27" si="0">SUM(I13:L13)</f>
        <v>0.43855872060000006</v>
      </c>
    </row>
    <row r="14" spans="1:13" x14ac:dyDescent="0.3">
      <c r="A14" s="1414" t="s">
        <v>697</v>
      </c>
      <c r="B14" s="1414"/>
      <c r="C14" s="1414"/>
      <c r="D14" s="653">
        <v>4980</v>
      </c>
      <c r="E14" s="654">
        <v>2.64</v>
      </c>
      <c r="F14" s="654">
        <v>0.24</v>
      </c>
      <c r="G14" s="654">
        <v>0.06</v>
      </c>
      <c r="H14" s="654">
        <v>0.2</v>
      </c>
      <c r="I14" s="655">
        <f>(D14/100*E14*E5)/1000</f>
        <v>8.387913600000001</v>
      </c>
      <c r="J14" s="655">
        <f>(D14/100*F14*E7)/1000</f>
        <v>0.62475494399999998</v>
      </c>
      <c r="K14" s="655">
        <f>(D14/100*G14*E6)/1000</f>
        <v>0.12433964399999999</v>
      </c>
      <c r="L14" s="655">
        <f>(D14/100*H14*E8)/1000</f>
        <v>0.74544624000000015</v>
      </c>
      <c r="M14" s="656">
        <f t="shared" si="0"/>
        <v>9.8824544280000008</v>
      </c>
    </row>
    <row r="15" spans="1:13" x14ac:dyDescent="0.3">
      <c r="A15" s="1414" t="s">
        <v>251</v>
      </c>
      <c r="B15" s="1414"/>
      <c r="C15" s="1414"/>
      <c r="D15" s="653">
        <v>4258</v>
      </c>
      <c r="E15" s="654">
        <v>2.64</v>
      </c>
      <c r="F15" s="654">
        <v>0.24</v>
      </c>
      <c r="G15" s="654">
        <v>0.06</v>
      </c>
      <c r="H15" s="654">
        <v>0.2</v>
      </c>
      <c r="I15" s="655">
        <f>(D15/100*E15*E6)/1000</f>
        <v>4.6777672655999991</v>
      </c>
      <c r="J15" s="655">
        <f>(D15/100*F15*E8)/1000</f>
        <v>0.76484580479999997</v>
      </c>
      <c r="K15" s="655">
        <f>(D15/100*G15*E7)/1000</f>
        <v>0.1335445056</v>
      </c>
      <c r="L15" s="655">
        <f>(D15/100*H15*E9)/1000</f>
        <v>0</v>
      </c>
      <c r="M15" s="656">
        <f t="shared" si="0"/>
        <v>5.5761575759999991</v>
      </c>
    </row>
    <row r="16" spans="1:13" x14ac:dyDescent="0.3">
      <c r="A16" s="1414" t="s">
        <v>698</v>
      </c>
      <c r="B16" s="1414"/>
      <c r="C16" s="1414"/>
      <c r="D16" s="653">
        <v>954</v>
      </c>
      <c r="E16" s="654">
        <v>2.64</v>
      </c>
      <c r="F16" s="654">
        <v>0.36</v>
      </c>
      <c r="G16" s="654">
        <v>0.12</v>
      </c>
      <c r="H16" s="654">
        <v>0.24</v>
      </c>
      <c r="I16" s="655">
        <f>(D16/100*E16*E5)/1000</f>
        <v>1.6068412799999998</v>
      </c>
      <c r="J16" s="655">
        <f>(D16/100*F16*E7)/1000</f>
        <v>0.17952295679999999</v>
      </c>
      <c r="K16" s="655">
        <f>(D16/100*G16*E6)/1000</f>
        <v>4.7638562399999994E-2</v>
      </c>
      <c r="L16" s="655">
        <f>(D16/100*H16*E8)/1000</f>
        <v>0.1713628224</v>
      </c>
      <c r="M16" s="656">
        <f t="shared" si="0"/>
        <v>2.0053656215999998</v>
      </c>
    </row>
    <row r="17" spans="1:13" x14ac:dyDescent="0.3">
      <c r="A17" s="1414" t="s">
        <v>699</v>
      </c>
      <c r="B17" s="1414"/>
      <c r="C17" s="1414"/>
      <c r="D17" s="653">
        <v>4545</v>
      </c>
      <c r="E17" s="654">
        <v>2.52</v>
      </c>
      <c r="F17" s="654">
        <v>0.36</v>
      </c>
      <c r="G17" s="654">
        <v>0.12</v>
      </c>
      <c r="H17" s="654">
        <v>0.3</v>
      </c>
      <c r="I17" s="655">
        <f>(D17/100*E17*E5)/1000</f>
        <v>7.3072692000000004</v>
      </c>
      <c r="J17" s="655">
        <f>(D17/100*F17*E7)/1000</f>
        <v>0.85527446400000018</v>
      </c>
      <c r="K17" s="655">
        <f>(D17/100*G17*E6)/1000</f>
        <v>0.226957302</v>
      </c>
      <c r="L17" s="655">
        <f>(D17/100*H17*E8)/1000</f>
        <v>1.02049794</v>
      </c>
      <c r="M17" s="656">
        <f t="shared" si="0"/>
        <v>9.409998906000002</v>
      </c>
    </row>
    <row r="18" spans="1:13" x14ac:dyDescent="0.3">
      <c r="A18" s="1417" t="s">
        <v>886</v>
      </c>
      <c r="B18" s="1417"/>
      <c r="C18" s="1417"/>
      <c r="D18" s="657">
        <v>2926</v>
      </c>
      <c r="E18" s="654">
        <v>0.72</v>
      </c>
      <c r="F18" s="654">
        <v>0.12</v>
      </c>
      <c r="G18" s="654">
        <v>3.5999999999999997E-2</v>
      </c>
      <c r="H18" s="654">
        <v>0.12</v>
      </c>
      <c r="I18" s="655">
        <f>(D18/100*E18*E6)/1000</f>
        <v>0.87666939360000007</v>
      </c>
      <c r="J18" s="655">
        <f>(D18/100*F18*E8)/1000</f>
        <v>0.26279225280000001</v>
      </c>
      <c r="K18" s="655">
        <f>(D18/100*G18*E7)/1000</f>
        <v>5.5061233920000008E-2</v>
      </c>
      <c r="L18" s="655">
        <f>(D18/100*H18*E9)/1000</f>
        <v>0</v>
      </c>
      <c r="M18" s="656">
        <f t="shared" ref="M18" si="1">SUM(I18:L18)</f>
        <v>1.1945228803200001</v>
      </c>
    </row>
    <row r="19" spans="1:13" x14ac:dyDescent="0.3">
      <c r="A19" s="1414" t="s">
        <v>700</v>
      </c>
      <c r="B19" s="1414"/>
      <c r="C19" s="1414"/>
      <c r="D19" s="653">
        <v>10148</v>
      </c>
      <c r="E19" s="654">
        <v>2.64</v>
      </c>
      <c r="F19" s="654">
        <v>0.36</v>
      </c>
      <c r="G19" s="654">
        <v>0.12</v>
      </c>
      <c r="H19" s="654">
        <v>0.24</v>
      </c>
      <c r="I19" s="655">
        <f>(D19/100*E19*E5)/1000</f>
        <v>17.092479360000006</v>
      </c>
      <c r="J19" s="655">
        <f>(D19/100*F19*E7)/1000</f>
        <v>1.9096425216000001</v>
      </c>
      <c r="K19" s="655">
        <f>(D19/100*G19*E6)/1000</f>
        <v>0.50674646879999996</v>
      </c>
      <c r="L19" s="655">
        <f>(D19/100*H19*E8)/1000</f>
        <v>1.8228405888000001</v>
      </c>
      <c r="M19" s="656">
        <f t="shared" si="0"/>
        <v>21.331708939200006</v>
      </c>
    </row>
    <row r="20" spans="1:13" x14ac:dyDescent="0.3">
      <c r="A20" s="1416" t="s">
        <v>701</v>
      </c>
      <c r="B20" s="1416"/>
      <c r="C20" s="1416"/>
      <c r="D20" s="658">
        <v>7695</v>
      </c>
      <c r="E20" s="645">
        <v>2.64</v>
      </c>
      <c r="F20" s="645">
        <v>0.24</v>
      </c>
      <c r="G20" s="645">
        <v>0.06</v>
      </c>
      <c r="H20" s="645">
        <v>0.2</v>
      </c>
      <c r="I20" s="659">
        <f>(D20/100*E20*E15)/1000</f>
        <v>0.53631072000000002</v>
      </c>
      <c r="J20" s="659">
        <f>(D20/100*F20*E17)/1000</f>
        <v>4.6539360000000002E-2</v>
      </c>
      <c r="K20" s="659">
        <f>(D20/100*G20*E16)/1000</f>
        <v>1.2188880000000001E-2</v>
      </c>
      <c r="L20" s="659">
        <f>(D20/100*H20/1000)</f>
        <v>1.5390000000000001E-2</v>
      </c>
      <c r="M20" s="644">
        <f>SUM(I20:L20)</f>
        <v>0.61042896000000002</v>
      </c>
    </row>
    <row r="21" spans="1:13" x14ac:dyDescent="0.3">
      <c r="A21" s="1416" t="s">
        <v>252</v>
      </c>
      <c r="B21" s="1416"/>
      <c r="C21" s="1416"/>
      <c r="D21" s="658">
        <v>9341</v>
      </c>
      <c r="E21" s="654">
        <v>2.64</v>
      </c>
      <c r="F21" s="654">
        <v>0.36</v>
      </c>
      <c r="G21" s="654">
        <v>0.12</v>
      </c>
      <c r="H21" s="654">
        <v>0.24</v>
      </c>
      <c r="I21" s="655">
        <f>(D21/100*E21*E7)/1000</f>
        <v>12.8904006528</v>
      </c>
      <c r="J21" s="655">
        <f>(D21/100*F21*E9)/1000</f>
        <v>0</v>
      </c>
      <c r="K21" s="655">
        <f>(D21/100*G21*E8)/1000</f>
        <v>0.83894136479999992</v>
      </c>
      <c r="L21" s="655">
        <f>(D21/100*H21*E10)/1000</f>
        <v>0</v>
      </c>
      <c r="M21" s="656">
        <f t="shared" ref="M21:M22" si="2">SUM(I21:L21)</f>
        <v>13.729342017600001</v>
      </c>
    </row>
    <row r="22" spans="1:13" x14ac:dyDescent="0.3">
      <c r="A22" s="1416" t="s">
        <v>1266</v>
      </c>
      <c r="B22" s="1416"/>
      <c r="C22" s="1416"/>
      <c r="D22" s="658">
        <v>2926</v>
      </c>
      <c r="E22" s="654">
        <v>2.64</v>
      </c>
      <c r="F22" s="654">
        <v>0.24</v>
      </c>
      <c r="G22" s="654">
        <v>0.06</v>
      </c>
      <c r="H22" s="654">
        <v>0.2</v>
      </c>
      <c r="I22" s="655">
        <f>(D22/100*E22*E14)/1000</f>
        <v>0.20393049600000004</v>
      </c>
      <c r="J22" s="655">
        <f>(D22/100*F22*E16)/1000</f>
        <v>1.8539136000000001E-2</v>
      </c>
      <c r="K22" s="655">
        <f>(D22/100*G22*E15)/1000</f>
        <v>4.6347840000000003E-3</v>
      </c>
      <c r="L22" s="655">
        <f>(D22/100*H22*E17)/1000</f>
        <v>1.4747039999999999E-2</v>
      </c>
      <c r="M22" s="656">
        <f t="shared" si="2"/>
        <v>0.24185145600000005</v>
      </c>
    </row>
    <row r="23" spans="1:13" x14ac:dyDescent="0.3">
      <c r="A23" s="649"/>
      <c r="B23" s="649"/>
      <c r="C23" s="649"/>
      <c r="D23" s="646"/>
      <c r="E23" s="646"/>
      <c r="F23" s="646"/>
      <c r="G23" s="646"/>
      <c r="H23" s="646"/>
      <c r="I23" s="651"/>
      <c r="J23" s="651"/>
      <c r="K23" s="651"/>
      <c r="L23" s="660"/>
      <c r="M23" s="661">
        <f>SUM(M13:M22)</f>
        <v>64.420389505320017</v>
      </c>
    </row>
    <row r="24" spans="1:13" x14ac:dyDescent="0.3">
      <c r="A24" s="649"/>
      <c r="B24" s="649"/>
      <c r="C24" s="649"/>
      <c r="D24" s="646"/>
      <c r="E24" s="646"/>
      <c r="F24" s="646"/>
      <c r="G24" s="646"/>
      <c r="H24" s="648" t="s">
        <v>702</v>
      </c>
      <c r="I24" s="651"/>
      <c r="J24" s="651"/>
      <c r="K24" s="651"/>
      <c r="L24" s="651"/>
      <c r="M24" s="652"/>
    </row>
    <row r="25" spans="1:13" x14ac:dyDescent="0.3">
      <c r="A25" s="1418" t="s">
        <v>687</v>
      </c>
      <c r="B25" s="1418"/>
      <c r="C25" s="1418"/>
      <c r="D25" s="1415" t="s">
        <v>688</v>
      </c>
      <c r="E25" s="1418" t="s">
        <v>689</v>
      </c>
      <c r="F25" s="1418"/>
      <c r="G25" s="1418"/>
      <c r="H25" s="1418"/>
      <c r="I25" s="1421" t="s">
        <v>690</v>
      </c>
      <c r="J25" s="1421"/>
      <c r="K25" s="1421"/>
      <c r="L25" s="1421"/>
      <c r="M25" s="1444" t="s">
        <v>691</v>
      </c>
    </row>
    <row r="26" spans="1:13" x14ac:dyDescent="0.3">
      <c r="A26" s="1418"/>
      <c r="B26" s="1418"/>
      <c r="C26" s="1418"/>
      <c r="D26" s="1415"/>
      <c r="E26" s="185" t="s">
        <v>692</v>
      </c>
      <c r="F26" s="185" t="s">
        <v>693</v>
      </c>
      <c r="G26" s="185" t="s">
        <v>694</v>
      </c>
      <c r="H26" s="185" t="s">
        <v>695</v>
      </c>
      <c r="I26" s="185" t="s">
        <v>692</v>
      </c>
      <c r="J26" s="185" t="s">
        <v>693</v>
      </c>
      <c r="K26" s="185" t="s">
        <v>694</v>
      </c>
      <c r="L26" s="185" t="s">
        <v>695</v>
      </c>
      <c r="M26" s="1444"/>
    </row>
    <row r="27" spans="1:13" x14ac:dyDescent="0.3">
      <c r="A27" s="1414" t="s">
        <v>703</v>
      </c>
      <c r="B27" s="1414"/>
      <c r="C27" s="1414"/>
      <c r="D27" s="658"/>
      <c r="E27" s="654">
        <v>2.1</v>
      </c>
      <c r="F27" s="654">
        <v>0.3</v>
      </c>
      <c r="G27" s="654">
        <v>0.1</v>
      </c>
      <c r="H27" s="654">
        <v>0.25</v>
      </c>
      <c r="I27" s="655">
        <f>(D27/100*E27*E5)/1000</f>
        <v>0</v>
      </c>
      <c r="J27" s="655">
        <f>(D27/100*F27*E7)/1000</f>
        <v>0</v>
      </c>
      <c r="K27" s="655">
        <f>(D27/100*G27*E6)/1000</f>
        <v>0</v>
      </c>
      <c r="L27" s="655">
        <f>(D27/100*H27*E8)/1000</f>
        <v>0</v>
      </c>
      <c r="M27" s="656">
        <f t="shared" si="0"/>
        <v>0</v>
      </c>
    </row>
    <row r="28" spans="1:13" x14ac:dyDescent="0.3">
      <c r="A28" s="1414" t="s">
        <v>704</v>
      </c>
      <c r="B28" s="1414"/>
      <c r="C28" s="1414"/>
      <c r="D28" s="653">
        <v>5333</v>
      </c>
      <c r="E28" s="654">
        <v>0.72</v>
      </c>
      <c r="F28" s="654">
        <v>0.12</v>
      </c>
      <c r="G28" s="654">
        <v>3.5999999999999997E-2</v>
      </c>
      <c r="H28" s="654">
        <v>0.12</v>
      </c>
      <c r="I28" s="655">
        <f>(D28/100*E28*E5)/1000</f>
        <v>2.4497668800000003</v>
      </c>
      <c r="J28" s="655">
        <f>(D28/100*F28*E7)/1000</f>
        <v>0.33451989120000003</v>
      </c>
      <c r="K28" s="655">
        <f>(D28/100*G28*E6)/1000</f>
        <v>7.989196643999999E-2</v>
      </c>
      <c r="L28" s="655">
        <f>(D28/100*H28*E8)/1000</f>
        <v>0.4789716624</v>
      </c>
      <c r="M28" s="656">
        <f>SUM(I28:L28)</f>
        <v>3.3431504000400007</v>
      </c>
    </row>
    <row r="29" spans="1:13" x14ac:dyDescent="0.3">
      <c r="A29" s="1414" t="s">
        <v>1308</v>
      </c>
      <c r="B29" s="1414"/>
      <c r="C29" s="1414"/>
      <c r="D29" s="653">
        <v>9027</v>
      </c>
      <c r="E29" s="654">
        <v>0.72</v>
      </c>
      <c r="F29" s="654">
        <v>0.12</v>
      </c>
      <c r="G29" s="654">
        <v>3.5999999999999997E-2</v>
      </c>
      <c r="H29" s="654">
        <v>0.12</v>
      </c>
      <c r="I29" s="655">
        <f>(D29/100*E29*E6)/1000</f>
        <v>2.7046119672</v>
      </c>
      <c r="J29" s="655">
        <f>(D29/100*F29*E8)/1000</f>
        <v>0.81074014560000007</v>
      </c>
      <c r="K29" s="655">
        <f>(D29/100*G29*E7)/1000</f>
        <v>0.16986936384000001</v>
      </c>
      <c r="L29" s="655">
        <f>(D29/100*H29*E9)/1000</f>
        <v>0</v>
      </c>
      <c r="M29" s="656">
        <f>SUM(I29:L29)</f>
        <v>3.6852214766400002</v>
      </c>
    </row>
    <row r="30" spans="1:13" x14ac:dyDescent="0.3">
      <c r="A30" s="1443"/>
      <c r="B30" s="1443"/>
      <c r="C30" s="1443"/>
      <c r="D30" s="1443"/>
      <c r="E30" s="1443"/>
      <c r="F30" s="1443"/>
      <c r="G30" s="1443"/>
      <c r="H30" s="1443"/>
      <c r="I30" s="1443"/>
      <c r="J30" s="1443"/>
      <c r="K30" s="1443"/>
      <c r="L30" s="1443"/>
      <c r="M30" s="640">
        <f>SUM(M27:M29)</f>
        <v>7.0283718766800014</v>
      </c>
    </row>
    <row r="31" spans="1:13" x14ac:dyDescent="0.3">
      <c r="A31" s="1443" t="s">
        <v>15</v>
      </c>
      <c r="B31" s="1443"/>
      <c r="C31" s="1443"/>
      <c r="D31" s="1443"/>
      <c r="E31" s="1443"/>
      <c r="F31" s="1443"/>
      <c r="G31" s="1443"/>
      <c r="H31" s="1443"/>
      <c r="I31" s="1443"/>
      <c r="J31" s="1443"/>
      <c r="K31" s="1443"/>
      <c r="L31" s="1443"/>
      <c r="M31" s="661">
        <f>M23+M30</f>
        <v>71.448761382000015</v>
      </c>
    </row>
    <row r="32" spans="1:13" x14ac:dyDescent="0.3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660" t="s">
        <v>1272</v>
      </c>
      <c r="M32" s="662">
        <v>71</v>
      </c>
    </row>
    <row r="33" spans="1:13" x14ac:dyDescent="0.3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663" t="s">
        <v>1309</v>
      </c>
      <c r="M33" s="664">
        <f>M32*1.05</f>
        <v>74.55</v>
      </c>
    </row>
    <row r="34" spans="1:13" x14ac:dyDescent="0.3">
      <c r="A34" s="42"/>
      <c r="B34" s="187"/>
      <c r="C34" s="42"/>
      <c r="D34" s="42"/>
      <c r="E34" s="42"/>
      <c r="F34" s="42"/>
      <c r="G34" s="42"/>
      <c r="H34" s="42"/>
      <c r="I34" s="42"/>
      <c r="J34" s="42"/>
      <c r="K34" s="42"/>
      <c r="L34" s="663" t="s">
        <v>1310</v>
      </c>
      <c r="M34" s="664">
        <f t="shared" ref="M34:M36" si="3">M33*1.05</f>
        <v>78.277500000000003</v>
      </c>
    </row>
    <row r="35" spans="1:13" x14ac:dyDescent="0.3">
      <c r="A35" s="42"/>
      <c r="B35" s="187"/>
      <c r="C35" s="42"/>
      <c r="D35" s="42"/>
      <c r="E35" s="42"/>
      <c r="F35" s="42"/>
      <c r="G35" s="42"/>
      <c r="H35" s="42"/>
      <c r="I35" s="42"/>
      <c r="J35" s="42"/>
      <c r="K35" s="42"/>
      <c r="L35" s="660" t="s">
        <v>1311</v>
      </c>
      <c r="M35" s="664">
        <f t="shared" si="3"/>
        <v>82.191375000000008</v>
      </c>
    </row>
    <row r="36" spans="1:13" x14ac:dyDescent="0.3">
      <c r="A36" s="42"/>
      <c r="B36" s="187"/>
      <c r="C36" s="42"/>
      <c r="D36" s="42"/>
      <c r="E36" s="42"/>
      <c r="F36" s="42"/>
      <c r="G36" s="42"/>
      <c r="H36" s="42"/>
      <c r="I36" s="42"/>
      <c r="J36" s="42"/>
      <c r="K36" s="42"/>
      <c r="L36" s="660" t="s">
        <v>1312</v>
      </c>
      <c r="M36" s="664">
        <f t="shared" si="3"/>
        <v>86.300943750000016</v>
      </c>
    </row>
    <row r="37" spans="1:13" x14ac:dyDescent="0.3">
      <c r="A37" s="42"/>
      <c r="B37" s="187"/>
      <c r="C37" s="42"/>
      <c r="D37" s="42"/>
      <c r="E37" s="42"/>
      <c r="F37" s="42"/>
      <c r="G37" s="42"/>
      <c r="H37" s="42"/>
      <c r="I37" s="42"/>
      <c r="J37" s="42"/>
      <c r="K37" s="42"/>
      <c r="L37" s="665"/>
      <c r="M37" s="666"/>
    </row>
    <row r="38" spans="1:13" x14ac:dyDescent="0.3">
      <c r="A38" s="42"/>
      <c r="B38" s="187" t="s">
        <v>705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x14ac:dyDescent="0.3">
      <c r="A39" s="42"/>
      <c r="B39" s="1412" t="s">
        <v>706</v>
      </c>
      <c r="C39" s="1413"/>
      <c r="D39" s="654">
        <f>64.8*1.1</f>
        <v>71.28</v>
      </c>
      <c r="E39" s="654" t="s">
        <v>707</v>
      </c>
      <c r="F39" s="654"/>
      <c r="G39" s="42"/>
      <c r="H39" s="42"/>
      <c r="I39" s="42"/>
      <c r="J39" s="42"/>
      <c r="K39" s="42"/>
      <c r="L39" s="42"/>
      <c r="M39" s="42"/>
    </row>
    <row r="40" spans="1:13" x14ac:dyDescent="0.3">
      <c r="A40" s="42"/>
      <c r="B40" s="1412" t="s">
        <v>708</v>
      </c>
      <c r="C40" s="1413"/>
      <c r="D40" s="654">
        <f>81*1.1</f>
        <v>89.100000000000009</v>
      </c>
      <c r="E40" s="654" t="s">
        <v>707</v>
      </c>
      <c r="F40" s="654"/>
      <c r="G40" s="42"/>
      <c r="H40" s="42"/>
      <c r="I40" s="42"/>
      <c r="J40" s="42"/>
      <c r="K40" s="42"/>
      <c r="L40" s="42"/>
      <c r="M40" s="42"/>
    </row>
    <row r="41" spans="1:13" x14ac:dyDescent="0.3">
      <c r="A41" s="42"/>
      <c r="B41" s="1412" t="s">
        <v>709</v>
      </c>
      <c r="C41" s="1413"/>
      <c r="D41" s="654">
        <f>1.1*194.4</f>
        <v>213.84000000000003</v>
      </c>
      <c r="E41" s="654" t="s">
        <v>707</v>
      </c>
      <c r="F41" s="654"/>
      <c r="G41" s="42"/>
      <c r="H41" s="42"/>
      <c r="I41" s="42"/>
      <c r="J41" s="42"/>
      <c r="K41" s="42"/>
      <c r="L41" s="42"/>
      <c r="M41" s="42"/>
    </row>
    <row r="42" spans="1:13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x14ac:dyDescent="0.3">
      <c r="A43" s="667"/>
      <c r="B43" s="667"/>
      <c r="C43" s="667"/>
      <c r="D43" s="667"/>
      <c r="E43" s="646"/>
      <c r="F43" s="646"/>
      <c r="G43" s="648" t="s">
        <v>710</v>
      </c>
      <c r="H43" s="651"/>
      <c r="I43" s="646"/>
      <c r="J43" s="651"/>
      <c r="K43" s="668"/>
      <c r="L43" s="668"/>
      <c r="M43" s="668"/>
    </row>
    <row r="44" spans="1:13" x14ac:dyDescent="0.3">
      <c r="A44" s="1418" t="s">
        <v>711</v>
      </c>
      <c r="B44" s="1418"/>
      <c r="C44" s="1418"/>
      <c r="D44" s="1418"/>
      <c r="E44" s="1418" t="s">
        <v>712</v>
      </c>
      <c r="F44" s="1418"/>
      <c r="G44" s="1418"/>
      <c r="H44" s="1434" t="s">
        <v>713</v>
      </c>
      <c r="I44" s="1434"/>
      <c r="J44" s="1434"/>
      <c r="K44" s="1421" t="s">
        <v>714</v>
      </c>
      <c r="L44" s="1421"/>
      <c r="M44" s="1421"/>
    </row>
    <row r="45" spans="1:13" x14ac:dyDescent="0.3">
      <c r="A45" s="1418"/>
      <c r="B45" s="1418"/>
      <c r="C45" s="1418"/>
      <c r="D45" s="1418"/>
      <c r="E45" s="1427" t="s">
        <v>693</v>
      </c>
      <c r="F45" s="1427" t="s">
        <v>715</v>
      </c>
      <c r="G45" s="1427" t="s">
        <v>716</v>
      </c>
      <c r="H45" s="1427" t="s">
        <v>693</v>
      </c>
      <c r="I45" s="1427" t="s">
        <v>715</v>
      </c>
      <c r="J45" s="1427" t="s">
        <v>716</v>
      </c>
      <c r="K45" s="1421"/>
      <c r="L45" s="1421"/>
      <c r="M45" s="1421"/>
    </row>
    <row r="46" spans="1:13" x14ac:dyDescent="0.3">
      <c r="A46" s="1418"/>
      <c r="B46" s="1418"/>
      <c r="C46" s="1418"/>
      <c r="D46" s="1418"/>
      <c r="E46" s="1427"/>
      <c r="F46" s="1427"/>
      <c r="G46" s="1427"/>
      <c r="H46" s="1427"/>
      <c r="I46" s="1427"/>
      <c r="J46" s="1427"/>
      <c r="K46" s="1421"/>
      <c r="L46" s="1421"/>
      <c r="M46" s="1421"/>
    </row>
    <row r="47" spans="1:13" x14ac:dyDescent="0.3">
      <c r="A47" s="1435" t="s">
        <v>696</v>
      </c>
      <c r="B47" s="1436"/>
      <c r="C47" s="1436"/>
      <c r="D47" s="1436"/>
      <c r="E47" s="654">
        <v>8</v>
      </c>
      <c r="F47" s="654">
        <v>1</v>
      </c>
      <c r="G47" s="654">
        <v>0.5</v>
      </c>
      <c r="H47" s="655">
        <f>E47*D39/1000</f>
        <v>0.57023999999999997</v>
      </c>
      <c r="I47" s="654">
        <f>F47*D40/1000</f>
        <v>8.9100000000000013E-2</v>
      </c>
      <c r="J47" s="655">
        <f>G47*D41/1000</f>
        <v>0.10692000000000002</v>
      </c>
      <c r="K47" s="1421">
        <f t="shared" ref="K47:K63" si="4">H47+I47+J47</f>
        <v>0.76626000000000005</v>
      </c>
      <c r="L47" s="1421"/>
      <c r="M47" s="1422"/>
    </row>
    <row r="48" spans="1:13" x14ac:dyDescent="0.3">
      <c r="A48" s="1435" t="s">
        <v>697</v>
      </c>
      <c r="B48" s="1436"/>
      <c r="C48" s="1436"/>
      <c r="D48" s="1436"/>
      <c r="E48" s="654">
        <v>8</v>
      </c>
      <c r="F48" s="654">
        <v>1</v>
      </c>
      <c r="G48" s="654">
        <v>0.5</v>
      </c>
      <c r="H48" s="655">
        <f>E48*D39/1000</f>
        <v>0.57023999999999997</v>
      </c>
      <c r="I48" s="654">
        <f>F48*D40/1000</f>
        <v>8.9100000000000013E-2</v>
      </c>
      <c r="J48" s="655">
        <f>G48*D41/1000</f>
        <v>0.10692000000000002</v>
      </c>
      <c r="K48" s="1421">
        <f t="shared" si="4"/>
        <v>0.76626000000000005</v>
      </c>
      <c r="L48" s="1421"/>
      <c r="M48" s="1422"/>
    </row>
    <row r="49" spans="1:13" x14ac:dyDescent="0.3">
      <c r="A49" s="1442" t="s">
        <v>251</v>
      </c>
      <c r="B49" s="1410"/>
      <c r="C49" s="1410"/>
      <c r="D49" s="1411"/>
      <c r="E49" s="654">
        <v>8</v>
      </c>
      <c r="F49" s="654">
        <v>1</v>
      </c>
      <c r="G49" s="654">
        <v>0.5</v>
      </c>
      <c r="H49" s="655">
        <f>E49*D39/1000</f>
        <v>0.57023999999999997</v>
      </c>
      <c r="I49" s="654">
        <f>F49*D40/1000</f>
        <v>8.9100000000000013E-2</v>
      </c>
      <c r="J49" s="655">
        <f>G49*D41/1000</f>
        <v>0.10692000000000002</v>
      </c>
      <c r="K49" s="1421">
        <f t="shared" si="4"/>
        <v>0.76626000000000005</v>
      </c>
      <c r="L49" s="1421"/>
      <c r="M49" s="1422"/>
    </row>
    <row r="50" spans="1:13" x14ac:dyDescent="0.3">
      <c r="A50" s="1419" t="s">
        <v>698</v>
      </c>
      <c r="B50" s="1420"/>
      <c r="C50" s="1420"/>
      <c r="D50" s="1420"/>
      <c r="E50" s="654">
        <v>20</v>
      </c>
      <c r="F50" s="654">
        <v>3</v>
      </c>
      <c r="G50" s="654">
        <v>0.5</v>
      </c>
      <c r="H50" s="654">
        <f>E50*D39/1000</f>
        <v>1.4256</v>
      </c>
      <c r="I50" s="654">
        <f>F50*D40/1000</f>
        <v>0.26730000000000004</v>
      </c>
      <c r="J50" s="655">
        <f>G50*D41/1000</f>
        <v>0.10692000000000002</v>
      </c>
      <c r="K50" s="1421">
        <f t="shared" si="4"/>
        <v>1.79982</v>
      </c>
      <c r="L50" s="1421"/>
      <c r="M50" s="1422"/>
    </row>
    <row r="51" spans="1:13" x14ac:dyDescent="0.3">
      <c r="A51" s="1419" t="s">
        <v>699</v>
      </c>
      <c r="B51" s="1420"/>
      <c r="C51" s="1420"/>
      <c r="D51" s="1420"/>
      <c r="E51" s="654">
        <v>20</v>
      </c>
      <c r="F51" s="654">
        <v>3</v>
      </c>
      <c r="G51" s="654">
        <v>0.5</v>
      </c>
      <c r="H51" s="654">
        <f>E51*D39/1000</f>
        <v>1.4256</v>
      </c>
      <c r="I51" s="654">
        <f>F51*D40/1000</f>
        <v>0.26730000000000004</v>
      </c>
      <c r="J51" s="655">
        <f>G51*D41/1000</f>
        <v>0.10692000000000002</v>
      </c>
      <c r="K51" s="1421">
        <f t="shared" si="4"/>
        <v>1.79982</v>
      </c>
      <c r="L51" s="1421"/>
      <c r="M51" s="1422"/>
    </row>
    <row r="52" spans="1:13" x14ac:dyDescent="0.3">
      <c r="A52" s="1419" t="s">
        <v>700</v>
      </c>
      <c r="B52" s="1420"/>
      <c r="C52" s="1420"/>
      <c r="D52" s="1420"/>
      <c r="E52" s="654">
        <v>20</v>
      </c>
      <c r="F52" s="654">
        <v>3</v>
      </c>
      <c r="G52" s="654">
        <v>0.5</v>
      </c>
      <c r="H52" s="654">
        <f>E52*D39/1000</f>
        <v>1.4256</v>
      </c>
      <c r="I52" s="654">
        <f>F52*D40/1000</f>
        <v>0.26730000000000004</v>
      </c>
      <c r="J52" s="655">
        <f>G52*D41/1000</f>
        <v>0.10692000000000002</v>
      </c>
      <c r="K52" s="1421">
        <f t="shared" si="4"/>
        <v>1.79982</v>
      </c>
      <c r="L52" s="1421"/>
      <c r="M52" s="1422"/>
    </row>
    <row r="53" spans="1:13" x14ac:dyDescent="0.3">
      <c r="A53" s="1419" t="s">
        <v>252</v>
      </c>
      <c r="B53" s="1420"/>
      <c r="C53" s="1420"/>
      <c r="D53" s="1420"/>
      <c r="E53" s="654">
        <v>20</v>
      </c>
      <c r="F53" s="654">
        <v>3</v>
      </c>
      <c r="G53" s="654">
        <v>0.5</v>
      </c>
      <c r="H53" s="654">
        <f>E53*D39/1000</f>
        <v>1.4256</v>
      </c>
      <c r="I53" s="654">
        <f>F53*D40/1000</f>
        <v>0.26730000000000004</v>
      </c>
      <c r="J53" s="655">
        <f>G53*D41/1000</f>
        <v>0.10692000000000002</v>
      </c>
      <c r="K53" s="1421">
        <f t="shared" si="4"/>
        <v>1.79982</v>
      </c>
      <c r="L53" s="1421"/>
      <c r="M53" s="1422"/>
    </row>
    <row r="54" spans="1:13" x14ac:dyDescent="0.3">
      <c r="A54" s="1439" t="s">
        <v>886</v>
      </c>
      <c r="B54" s="1440"/>
      <c r="C54" s="1440"/>
      <c r="D54" s="1441"/>
      <c r="E54" s="654">
        <v>4</v>
      </c>
      <c r="F54" s="654">
        <v>1</v>
      </c>
      <c r="G54" s="654">
        <v>0.5</v>
      </c>
      <c r="H54" s="654">
        <f>E54*D40/1000</f>
        <v>0.35640000000000005</v>
      </c>
      <c r="I54" s="654">
        <f>F54*D41/1000</f>
        <v>0.21384000000000003</v>
      </c>
      <c r="J54" s="655">
        <f>G54*D42/1000</f>
        <v>0</v>
      </c>
      <c r="K54" s="1421">
        <f t="shared" ref="K54" si="5">H54+I54+J54</f>
        <v>0.57024000000000008</v>
      </c>
      <c r="L54" s="1421"/>
      <c r="M54" s="1422"/>
    </row>
    <row r="55" spans="1:13" x14ac:dyDescent="0.3">
      <c r="A55" s="1435" t="s">
        <v>717</v>
      </c>
      <c r="B55" s="1436"/>
      <c r="C55" s="1436"/>
      <c r="D55" s="1436"/>
      <c r="E55" s="645">
        <v>8</v>
      </c>
      <c r="F55" s="645">
        <v>1</v>
      </c>
      <c r="G55" s="645">
        <v>0.5</v>
      </c>
      <c r="H55" s="659">
        <f>E55*D39/1000</f>
        <v>0.57023999999999997</v>
      </c>
      <c r="I55" s="645">
        <f>F55*D40/1000</f>
        <v>8.9100000000000013E-2</v>
      </c>
      <c r="J55" s="659">
        <f>G55*D41/1000</f>
        <v>0.10692000000000002</v>
      </c>
      <c r="K55" s="1437">
        <f>H55+I55+J55</f>
        <v>0.76626000000000005</v>
      </c>
      <c r="L55" s="1437"/>
      <c r="M55" s="1438"/>
    </row>
    <row r="56" spans="1:13" x14ac:dyDescent="0.3">
      <c r="A56" s="1409" t="s">
        <v>1266</v>
      </c>
      <c r="B56" s="1410"/>
      <c r="C56" s="1410"/>
      <c r="D56" s="1411"/>
      <c r="E56" s="645">
        <v>8</v>
      </c>
      <c r="F56" s="645">
        <v>1</v>
      </c>
      <c r="G56" s="645">
        <v>0.5</v>
      </c>
      <c r="H56" s="659">
        <f>E56*D39/1000</f>
        <v>0.57023999999999997</v>
      </c>
      <c r="I56" s="645">
        <f>F56*D40/1000</f>
        <v>8.9100000000000013E-2</v>
      </c>
      <c r="J56" s="659">
        <f>G56*D41/1000</f>
        <v>0.10692000000000002</v>
      </c>
      <c r="K56" s="1437">
        <f>H56+I56+J56</f>
        <v>0.76626000000000005</v>
      </c>
      <c r="L56" s="1437"/>
      <c r="M56" s="1438"/>
    </row>
    <row r="57" spans="1:13" x14ac:dyDescent="0.3">
      <c r="A57" s="1428"/>
      <c r="B57" s="1429"/>
      <c r="C57" s="1429"/>
      <c r="D57" s="1430"/>
      <c r="E57" s="645"/>
      <c r="F57" s="645"/>
      <c r="G57" s="645"/>
      <c r="H57" s="659"/>
      <c r="I57" s="669"/>
      <c r="J57" s="659"/>
      <c r="K57" s="1431">
        <f>SUM(K47:K56)</f>
        <v>11.600820000000002</v>
      </c>
      <c r="L57" s="1432"/>
      <c r="M57" s="1433"/>
    </row>
    <row r="58" spans="1:13" x14ac:dyDescent="0.3">
      <c r="A58" s="1418" t="s">
        <v>711</v>
      </c>
      <c r="B58" s="1418"/>
      <c r="C58" s="1418"/>
      <c r="D58" s="1418"/>
      <c r="E58" s="1418" t="s">
        <v>712</v>
      </c>
      <c r="F58" s="1418"/>
      <c r="G58" s="1418"/>
      <c r="H58" s="1434" t="s">
        <v>713</v>
      </c>
      <c r="I58" s="1434"/>
      <c r="J58" s="1434"/>
      <c r="K58" s="1421" t="s">
        <v>714</v>
      </c>
      <c r="L58" s="1421"/>
      <c r="M58" s="1421"/>
    </row>
    <row r="59" spans="1:13" x14ac:dyDescent="0.3">
      <c r="A59" s="1418"/>
      <c r="B59" s="1418"/>
      <c r="C59" s="1418"/>
      <c r="D59" s="1418"/>
      <c r="E59" s="1427" t="s">
        <v>693</v>
      </c>
      <c r="F59" s="1427" t="s">
        <v>715</v>
      </c>
      <c r="G59" s="1427" t="s">
        <v>716</v>
      </c>
      <c r="H59" s="1427" t="s">
        <v>693</v>
      </c>
      <c r="I59" s="1427" t="s">
        <v>715</v>
      </c>
      <c r="J59" s="1427" t="s">
        <v>716</v>
      </c>
      <c r="K59" s="1421"/>
      <c r="L59" s="1421"/>
      <c r="M59" s="1421"/>
    </row>
    <row r="60" spans="1:13" x14ac:dyDescent="0.3">
      <c r="A60" s="1418"/>
      <c r="B60" s="1418"/>
      <c r="C60" s="1418"/>
      <c r="D60" s="1418"/>
      <c r="E60" s="1427"/>
      <c r="F60" s="1427"/>
      <c r="G60" s="1427"/>
      <c r="H60" s="1427"/>
      <c r="I60" s="1427"/>
      <c r="J60" s="1427"/>
      <c r="K60" s="1421"/>
      <c r="L60" s="1421"/>
      <c r="M60" s="1421"/>
    </row>
    <row r="61" spans="1:13" x14ac:dyDescent="0.3">
      <c r="A61" s="1420" t="s">
        <v>703</v>
      </c>
      <c r="B61" s="1420"/>
      <c r="C61" s="1420"/>
      <c r="D61" s="1420"/>
      <c r="E61" s="654">
        <v>22</v>
      </c>
      <c r="F61" s="654">
        <v>3</v>
      </c>
      <c r="G61" s="654">
        <v>0.5</v>
      </c>
      <c r="H61" s="655">
        <f>E61*D39/1000</f>
        <v>1.56816</v>
      </c>
      <c r="I61" s="654">
        <f>F61*D40/1000</f>
        <v>0.26730000000000004</v>
      </c>
      <c r="J61" s="655">
        <f>G61*D41/1000</f>
        <v>0.10692000000000002</v>
      </c>
      <c r="K61" s="1421">
        <f>H61+I61+J61</f>
        <v>1.94238</v>
      </c>
      <c r="L61" s="1421"/>
      <c r="M61" s="1421"/>
    </row>
    <row r="62" spans="1:13" x14ac:dyDescent="0.3">
      <c r="A62" s="1412" t="s">
        <v>1308</v>
      </c>
      <c r="B62" s="1448"/>
      <c r="C62" s="1448"/>
      <c r="D62" s="1413"/>
      <c r="E62" s="654">
        <v>4</v>
      </c>
      <c r="F62" s="654">
        <v>1</v>
      </c>
      <c r="G62" s="654">
        <v>0.5</v>
      </c>
      <c r="H62" s="655">
        <f>E62*D39/1000</f>
        <v>0.28511999999999998</v>
      </c>
      <c r="I62" s="654">
        <f>F62*D40/1000</f>
        <v>8.9100000000000013E-2</v>
      </c>
      <c r="J62" s="655">
        <f>G62*D41/1000</f>
        <v>0.10692000000000002</v>
      </c>
      <c r="K62" s="1421">
        <f t="shared" ref="K62" si="6">H62+I62+J62</f>
        <v>0.48114000000000001</v>
      </c>
      <c r="L62" s="1421"/>
      <c r="M62" s="1422"/>
    </row>
    <row r="63" spans="1:13" ht="13.5" thickBot="1" x14ac:dyDescent="0.35">
      <c r="A63" s="1419" t="s">
        <v>704</v>
      </c>
      <c r="B63" s="1420"/>
      <c r="C63" s="1420"/>
      <c r="D63" s="1420"/>
      <c r="E63" s="654">
        <v>4</v>
      </c>
      <c r="F63" s="654">
        <v>1</v>
      </c>
      <c r="G63" s="654">
        <v>0.5</v>
      </c>
      <c r="H63" s="655">
        <f>E63*D39/1000</f>
        <v>0.28511999999999998</v>
      </c>
      <c r="I63" s="654">
        <f>F63*D40/1000</f>
        <v>8.9100000000000013E-2</v>
      </c>
      <c r="J63" s="655">
        <f>G63*D41/1000</f>
        <v>0.10692000000000002</v>
      </c>
      <c r="K63" s="1421">
        <f t="shared" si="4"/>
        <v>0.48114000000000001</v>
      </c>
      <c r="L63" s="1421"/>
      <c r="M63" s="1422"/>
    </row>
    <row r="64" spans="1:13" ht="13.5" thickBot="1" x14ac:dyDescent="0.35">
      <c r="A64" s="1423" t="s">
        <v>15</v>
      </c>
      <c r="B64" s="1424"/>
      <c r="C64" s="1424"/>
      <c r="D64" s="1424"/>
      <c r="E64" s="1424"/>
      <c r="F64" s="1424"/>
      <c r="G64" s="1424"/>
      <c r="H64" s="1424"/>
      <c r="I64" s="1424"/>
      <c r="J64" s="1424"/>
      <c r="K64" s="1425">
        <f>SUM(K61:K63)</f>
        <v>2.9046599999999998</v>
      </c>
      <c r="L64" s="1425"/>
      <c r="M64" s="1426"/>
    </row>
    <row r="65" spans="1:13" ht="13.5" thickBot="1" x14ac:dyDescent="0.35">
      <c r="A65" s="42"/>
      <c r="B65" s="42"/>
      <c r="C65" s="42"/>
      <c r="D65" s="42"/>
      <c r="E65" s="42"/>
      <c r="F65" s="42"/>
      <c r="G65" s="42"/>
      <c r="H65" s="42"/>
      <c r="I65" s="42"/>
      <c r="J65" s="670" t="s">
        <v>265</v>
      </c>
      <c r="K65" s="1445">
        <f>K57+K64</f>
        <v>14.505480000000002</v>
      </c>
      <c r="L65" s="1446"/>
      <c r="M65" s="1447"/>
    </row>
    <row r="66" spans="1:13" x14ac:dyDescent="0.3">
      <c r="L66" s="660" t="s">
        <v>1272</v>
      </c>
      <c r="M66" s="662">
        <v>15</v>
      </c>
    </row>
    <row r="67" spans="1:13" x14ac:dyDescent="0.3">
      <c r="L67" s="663" t="s">
        <v>1309</v>
      </c>
      <c r="M67" s="664">
        <f>M66*1.05</f>
        <v>15.75</v>
      </c>
    </row>
    <row r="68" spans="1:13" x14ac:dyDescent="0.3">
      <c r="L68" s="663" t="s">
        <v>1310</v>
      </c>
      <c r="M68" s="664">
        <f t="shared" ref="M68:M70" si="7">M67*1.05</f>
        <v>16.537500000000001</v>
      </c>
    </row>
    <row r="69" spans="1:13" x14ac:dyDescent="0.3">
      <c r="A69" s="671"/>
      <c r="L69" s="660" t="s">
        <v>1311</v>
      </c>
      <c r="M69" s="664">
        <f t="shared" si="7"/>
        <v>17.364375000000003</v>
      </c>
    </row>
    <row r="70" spans="1:13" x14ac:dyDescent="0.3">
      <c r="L70" s="660" t="s">
        <v>1312</v>
      </c>
      <c r="M70" s="664">
        <f t="shared" si="7"/>
        <v>18.232593750000003</v>
      </c>
    </row>
    <row r="72" spans="1:13" x14ac:dyDescent="0.3">
      <c r="A72" s="671" t="s">
        <v>885</v>
      </c>
    </row>
  </sheetData>
  <mergeCells count="83">
    <mergeCell ref="K65:M65"/>
    <mergeCell ref="A22:C22"/>
    <mergeCell ref="K56:M56"/>
    <mergeCell ref="A56:D56"/>
    <mergeCell ref="A62:D62"/>
    <mergeCell ref="K62:M62"/>
    <mergeCell ref="E25:H25"/>
    <mergeCell ref="I25:L25"/>
    <mergeCell ref="M25:M26"/>
    <mergeCell ref="A27:C27"/>
    <mergeCell ref="A28:C28"/>
    <mergeCell ref="A25:C26"/>
    <mergeCell ref="I45:I46"/>
    <mergeCell ref="J45:J46"/>
    <mergeCell ref="A47:D47"/>
    <mergeCell ref="K47:M47"/>
    <mergeCell ref="D11:D12"/>
    <mergeCell ref="E11:H11"/>
    <mergeCell ref="I11:L11"/>
    <mergeCell ref="M11:M12"/>
    <mergeCell ref="A21:C21"/>
    <mergeCell ref="A30:L30"/>
    <mergeCell ref="A31:L31"/>
    <mergeCell ref="A44:D46"/>
    <mergeCell ref="E44:G44"/>
    <mergeCell ref="H44:J44"/>
    <mergeCell ref="K44:M46"/>
    <mergeCell ref="E45:E46"/>
    <mergeCell ref="F45:F46"/>
    <mergeCell ref="G45:G46"/>
    <mergeCell ref="H45:H46"/>
    <mergeCell ref="B40:C40"/>
    <mergeCell ref="B41:C41"/>
    <mergeCell ref="A48:D48"/>
    <mergeCell ref="K48:M48"/>
    <mergeCell ref="A49:D49"/>
    <mergeCell ref="K49:M49"/>
    <mergeCell ref="A50:D50"/>
    <mergeCell ref="K50:M50"/>
    <mergeCell ref="A55:D55"/>
    <mergeCell ref="K55:M55"/>
    <mergeCell ref="A51:D51"/>
    <mergeCell ref="K51:M51"/>
    <mergeCell ref="A52:D52"/>
    <mergeCell ref="K52:M52"/>
    <mergeCell ref="A53:D53"/>
    <mergeCell ref="K53:M53"/>
    <mergeCell ref="A54:D54"/>
    <mergeCell ref="K54:M54"/>
    <mergeCell ref="A57:D57"/>
    <mergeCell ref="K57:M57"/>
    <mergeCell ref="A58:D60"/>
    <mergeCell ref="E58:G58"/>
    <mergeCell ref="H58:J58"/>
    <mergeCell ref="K58:M60"/>
    <mergeCell ref="E59:E60"/>
    <mergeCell ref="F59:F60"/>
    <mergeCell ref="A63:D63"/>
    <mergeCell ref="K63:M63"/>
    <mergeCell ref="A64:J64"/>
    <mergeCell ref="K64:M64"/>
    <mergeCell ref="G59:G60"/>
    <mergeCell ref="H59:H60"/>
    <mergeCell ref="I59:I60"/>
    <mergeCell ref="J59:J60"/>
    <mergeCell ref="A61:D61"/>
    <mergeCell ref="K61:M61"/>
    <mergeCell ref="B5:D5"/>
    <mergeCell ref="B6:D6"/>
    <mergeCell ref="B7:D7"/>
    <mergeCell ref="B8:D8"/>
    <mergeCell ref="B39:C39"/>
    <mergeCell ref="A29:C29"/>
    <mergeCell ref="D25:D26"/>
    <mergeCell ref="A20:C20"/>
    <mergeCell ref="A13:C13"/>
    <mergeCell ref="A14:C14"/>
    <mergeCell ref="A15:C15"/>
    <mergeCell ref="A16:C16"/>
    <mergeCell ref="A17:C17"/>
    <mergeCell ref="A19:C19"/>
    <mergeCell ref="A18:C18"/>
    <mergeCell ref="A11:C1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H7" sqref="H7:L7"/>
    </sheetView>
  </sheetViews>
  <sheetFormatPr defaultRowHeight="14.5" x14ac:dyDescent="0.35"/>
  <cols>
    <col min="1" max="1" width="23.7265625" customWidth="1"/>
    <col min="2" max="2" width="10.1796875" customWidth="1"/>
    <col min="3" max="3" width="9.1796875" customWidth="1"/>
    <col min="4" max="4" width="9.54296875" customWidth="1"/>
    <col min="5" max="5" width="7.453125" customWidth="1"/>
    <col min="6" max="6" width="14" customWidth="1"/>
    <col min="7" max="7" width="7.1796875" customWidth="1"/>
    <col min="8" max="8" width="10.6328125" customWidth="1"/>
    <col min="9" max="9" width="8.6328125" customWidth="1"/>
    <col min="10" max="10" width="8.7265625" customWidth="1"/>
    <col min="11" max="11" width="10.7265625" customWidth="1"/>
    <col min="12" max="12" width="9.6328125" customWidth="1"/>
  </cols>
  <sheetData>
    <row r="1" spans="1:12" x14ac:dyDescent="0.35">
      <c r="A1" s="373" t="s">
        <v>1299</v>
      </c>
      <c r="B1" s="373"/>
      <c r="C1" s="41"/>
      <c r="D1" s="41"/>
      <c r="E1" s="41"/>
    </row>
    <row r="2" spans="1:12" x14ac:dyDescent="0.35">
      <c r="A2" s="41"/>
      <c r="B2" s="41"/>
      <c r="C2" s="41"/>
      <c r="D2" s="374"/>
      <c r="E2" s="41"/>
    </row>
    <row r="3" spans="1:12" ht="29" x14ac:dyDescent="0.35">
      <c r="A3" s="104" t="s">
        <v>1300</v>
      </c>
      <c r="B3" s="103" t="s">
        <v>295</v>
      </c>
      <c r="C3" s="41"/>
      <c r="D3" s="41"/>
      <c r="E3" s="41"/>
    </row>
    <row r="4" spans="1:12" x14ac:dyDescent="0.35">
      <c r="A4" s="103" t="s">
        <v>718</v>
      </c>
      <c r="B4" s="103">
        <v>29</v>
      </c>
      <c r="C4" s="41"/>
      <c r="D4" s="41"/>
      <c r="E4" s="41"/>
    </row>
    <row r="5" spans="1:12" x14ac:dyDescent="0.35">
      <c r="A5" s="103" t="s">
        <v>719</v>
      </c>
      <c r="B5" s="103">
        <v>33</v>
      </c>
      <c r="C5" s="41"/>
      <c r="D5" s="41"/>
      <c r="E5" s="41"/>
    </row>
    <row r="6" spans="1:12" x14ac:dyDescent="0.35">
      <c r="A6" s="103" t="s">
        <v>1269</v>
      </c>
      <c r="B6" s="103">
        <v>34</v>
      </c>
      <c r="C6" s="41"/>
      <c r="D6" s="41"/>
      <c r="E6" s="41"/>
      <c r="G6" s="41"/>
      <c r="H6" s="41"/>
      <c r="I6" s="41"/>
    </row>
    <row r="7" spans="1:12" ht="15" thickBot="1" x14ac:dyDescent="0.4">
      <c r="A7" s="103" t="s">
        <v>887</v>
      </c>
      <c r="B7" s="103">
        <v>33</v>
      </c>
      <c r="C7" s="41"/>
      <c r="D7" s="41"/>
      <c r="E7" s="41"/>
      <c r="H7" s="80" t="s">
        <v>1303</v>
      </c>
      <c r="I7" s="80" t="s">
        <v>1304</v>
      </c>
      <c r="J7" s="80" t="s">
        <v>1305</v>
      </c>
      <c r="K7" s="80" t="s">
        <v>1306</v>
      </c>
      <c r="L7" s="80" t="s">
        <v>1307</v>
      </c>
    </row>
    <row r="8" spans="1:12" ht="15" customHeight="1" x14ac:dyDescent="0.35">
      <c r="A8" s="1451" t="s">
        <v>720</v>
      </c>
      <c r="B8" s="1452" t="s">
        <v>721</v>
      </c>
      <c r="C8" s="1453" t="s">
        <v>974</v>
      </c>
      <c r="D8" s="1453" t="s">
        <v>722</v>
      </c>
      <c r="E8" s="1449" t="s">
        <v>723</v>
      </c>
      <c r="F8" s="188" t="s">
        <v>724</v>
      </c>
      <c r="G8" s="1449" t="s">
        <v>830</v>
      </c>
      <c r="H8" s="630" t="s">
        <v>725</v>
      </c>
      <c r="I8" s="630" t="s">
        <v>725</v>
      </c>
      <c r="J8" s="630" t="s">
        <v>725</v>
      </c>
      <c r="K8" s="637" t="s">
        <v>725</v>
      </c>
      <c r="L8" s="633" t="s">
        <v>725</v>
      </c>
    </row>
    <row r="9" spans="1:12" ht="27" thickBot="1" x14ac:dyDescent="0.4">
      <c r="A9" s="1451"/>
      <c r="B9" s="1452"/>
      <c r="C9" s="1454"/>
      <c r="D9" s="1454"/>
      <c r="E9" s="1455"/>
      <c r="F9" s="212" t="s">
        <v>726</v>
      </c>
      <c r="G9" s="1450"/>
      <c r="H9" s="631" t="s">
        <v>727</v>
      </c>
      <c r="I9" s="631" t="s">
        <v>727</v>
      </c>
      <c r="J9" s="631" t="s">
        <v>727</v>
      </c>
      <c r="K9" s="638" t="s">
        <v>727</v>
      </c>
      <c r="L9" s="634" t="s">
        <v>727</v>
      </c>
    </row>
    <row r="10" spans="1:12" x14ac:dyDescent="0.35">
      <c r="A10" s="213" t="s">
        <v>729</v>
      </c>
      <c r="B10" s="103" t="s">
        <v>734</v>
      </c>
      <c r="C10" s="215">
        <v>1000</v>
      </c>
      <c r="D10" s="214">
        <v>22.1</v>
      </c>
      <c r="E10" s="214"/>
      <c r="F10" s="105">
        <f t="shared" ref="F10:F13" si="0">C10*D10/100</f>
        <v>221</v>
      </c>
      <c r="G10" s="216">
        <v>33</v>
      </c>
      <c r="H10" s="210">
        <f>F10*G10/1000</f>
        <v>7.2930000000000001</v>
      </c>
      <c r="I10" s="210">
        <f>H10*1.05</f>
        <v>7.6576500000000003</v>
      </c>
      <c r="J10" s="210">
        <f>I10*1.05</f>
        <v>8.0405325000000012</v>
      </c>
      <c r="K10" s="210">
        <f t="shared" ref="K10:L10" si="1">J10*1.05</f>
        <v>8.4425591250000025</v>
      </c>
      <c r="L10" s="635">
        <f t="shared" si="1"/>
        <v>8.8646870812500023</v>
      </c>
    </row>
    <row r="11" spans="1:12" x14ac:dyDescent="0.35">
      <c r="A11" s="189" t="s">
        <v>730</v>
      </c>
      <c r="B11" s="103" t="s">
        <v>734</v>
      </c>
      <c r="C11" s="190">
        <v>24000</v>
      </c>
      <c r="D11" s="103">
        <v>20.75</v>
      </c>
      <c r="E11" s="103"/>
      <c r="F11" s="105">
        <f t="shared" si="0"/>
        <v>4980</v>
      </c>
      <c r="G11" s="209">
        <v>33</v>
      </c>
      <c r="H11" s="210">
        <f t="shared" ref="H11:H22" si="2">F11*G11/1000</f>
        <v>164.34</v>
      </c>
      <c r="I11" s="210">
        <f t="shared" ref="I11:L11" si="3">H11*1.05</f>
        <v>172.55700000000002</v>
      </c>
      <c r="J11" s="210">
        <f t="shared" si="3"/>
        <v>181.18485000000001</v>
      </c>
      <c r="K11" s="210">
        <f t="shared" si="3"/>
        <v>190.24409250000002</v>
      </c>
      <c r="L11" s="635">
        <f t="shared" si="3"/>
        <v>199.75629712500003</v>
      </c>
    </row>
    <row r="12" spans="1:12" x14ac:dyDescent="0.35">
      <c r="A12" s="189" t="s">
        <v>251</v>
      </c>
      <c r="B12" s="103" t="s">
        <v>734</v>
      </c>
      <c r="C12" s="190">
        <v>15400</v>
      </c>
      <c r="D12" s="103">
        <v>27.65</v>
      </c>
      <c r="E12" s="103"/>
      <c r="F12" s="105">
        <f t="shared" si="0"/>
        <v>4258.1000000000004</v>
      </c>
      <c r="G12" s="209">
        <v>33</v>
      </c>
      <c r="H12" s="210">
        <f t="shared" si="2"/>
        <v>140.51730000000001</v>
      </c>
      <c r="I12" s="210">
        <f t="shared" ref="I12:L12" si="4">H12*1.05</f>
        <v>147.54316500000002</v>
      </c>
      <c r="J12" s="210">
        <f t="shared" si="4"/>
        <v>154.92032325000002</v>
      </c>
      <c r="K12" s="210">
        <f t="shared" si="4"/>
        <v>162.66633941250004</v>
      </c>
      <c r="L12" s="635">
        <f t="shared" si="4"/>
        <v>170.79965638312504</v>
      </c>
    </row>
    <row r="13" spans="1:12" x14ac:dyDescent="0.35">
      <c r="A13" s="189" t="s">
        <v>731</v>
      </c>
      <c r="B13" s="103" t="s">
        <v>728</v>
      </c>
      <c r="C13" s="190">
        <v>2000</v>
      </c>
      <c r="D13" s="103">
        <v>47.7</v>
      </c>
      <c r="E13" s="103"/>
      <c r="F13" s="105">
        <f t="shared" si="0"/>
        <v>954</v>
      </c>
      <c r="G13" s="209">
        <v>29</v>
      </c>
      <c r="H13" s="210">
        <f t="shared" si="2"/>
        <v>27.666</v>
      </c>
      <c r="I13" s="210">
        <f t="shared" ref="I13:L13" si="5">H13*1.05</f>
        <v>29.049300000000002</v>
      </c>
      <c r="J13" s="210">
        <f t="shared" si="5"/>
        <v>30.501765000000002</v>
      </c>
      <c r="K13" s="210">
        <f t="shared" si="5"/>
        <v>32.026853250000002</v>
      </c>
      <c r="L13" s="635">
        <f t="shared" si="5"/>
        <v>33.628195912500004</v>
      </c>
    </row>
    <row r="14" spans="1:12" x14ac:dyDescent="0.35">
      <c r="A14" s="189" t="s">
        <v>732</v>
      </c>
      <c r="B14" s="103" t="s">
        <v>728</v>
      </c>
      <c r="C14" s="190" t="s">
        <v>736</v>
      </c>
      <c r="D14" s="103">
        <v>50.8</v>
      </c>
      <c r="E14" s="103">
        <v>24</v>
      </c>
      <c r="F14" s="105">
        <f>680*D14/100+175*E14</f>
        <v>4545.4399999999996</v>
      </c>
      <c r="G14" s="209">
        <v>29</v>
      </c>
      <c r="H14" s="210">
        <f t="shared" si="2"/>
        <v>131.81775999999999</v>
      </c>
      <c r="I14" s="210">
        <f t="shared" ref="I14:L14" si="6">H14*1.05</f>
        <v>138.408648</v>
      </c>
      <c r="J14" s="210">
        <f t="shared" si="6"/>
        <v>145.32908040000001</v>
      </c>
      <c r="K14" s="210">
        <f t="shared" si="6"/>
        <v>152.59553442000001</v>
      </c>
      <c r="L14" s="635">
        <f t="shared" si="6"/>
        <v>160.22531114100002</v>
      </c>
    </row>
    <row r="15" spans="1:12" x14ac:dyDescent="0.35">
      <c r="A15" s="189" t="s">
        <v>733</v>
      </c>
      <c r="B15" s="103" t="s">
        <v>728</v>
      </c>
      <c r="C15" s="190" t="s">
        <v>1301</v>
      </c>
      <c r="D15" s="103">
        <v>75.599999999999994</v>
      </c>
      <c r="E15" s="103">
        <v>13.15</v>
      </c>
      <c r="F15" s="105">
        <f>3300*D15/100+582*E15</f>
        <v>10148.1</v>
      </c>
      <c r="G15" s="209">
        <v>29</v>
      </c>
      <c r="H15" s="210">
        <f t="shared" si="2"/>
        <v>294.29490000000004</v>
      </c>
      <c r="I15" s="210">
        <f t="shared" ref="I15:L15" si="7">H15*1.05</f>
        <v>309.00964500000003</v>
      </c>
      <c r="J15" s="210">
        <f t="shared" si="7"/>
        <v>324.46012725000003</v>
      </c>
      <c r="K15" s="210">
        <f t="shared" si="7"/>
        <v>340.68313361250006</v>
      </c>
      <c r="L15" s="635">
        <f t="shared" si="7"/>
        <v>357.71729029312507</v>
      </c>
    </row>
    <row r="16" spans="1:12" x14ac:dyDescent="0.35">
      <c r="A16" s="189" t="s">
        <v>252</v>
      </c>
      <c r="B16" s="103" t="s">
        <v>728</v>
      </c>
      <c r="C16" s="190" t="s">
        <v>1302</v>
      </c>
      <c r="D16" s="103">
        <v>51.75</v>
      </c>
      <c r="E16" s="103">
        <v>13.2</v>
      </c>
      <c r="F16" s="105">
        <f>4200*D16/100+543*E16</f>
        <v>9341.0999999999985</v>
      </c>
      <c r="G16" s="209">
        <v>29</v>
      </c>
      <c r="H16" s="210">
        <f t="shared" si="2"/>
        <v>270.89189999999996</v>
      </c>
      <c r="I16" s="210">
        <f t="shared" ref="I16:L16" si="8">H16*1.05</f>
        <v>284.43649499999998</v>
      </c>
      <c r="J16" s="210">
        <f t="shared" si="8"/>
        <v>298.65831974999998</v>
      </c>
      <c r="K16" s="210">
        <f t="shared" si="8"/>
        <v>313.59123573749997</v>
      </c>
      <c r="L16" s="635">
        <f t="shared" si="8"/>
        <v>329.27079752437498</v>
      </c>
    </row>
    <row r="17" spans="1:12" x14ac:dyDescent="0.35">
      <c r="A17" s="189" t="s">
        <v>253</v>
      </c>
      <c r="B17" s="103" t="s">
        <v>728</v>
      </c>
      <c r="C17" s="103">
        <v>0</v>
      </c>
      <c r="D17" s="103">
        <v>39.5</v>
      </c>
      <c r="E17" s="103"/>
      <c r="F17" s="105">
        <f>C17*D17/100</f>
        <v>0</v>
      </c>
      <c r="G17" s="209">
        <v>29</v>
      </c>
      <c r="H17" s="210">
        <f t="shared" si="2"/>
        <v>0</v>
      </c>
      <c r="I17" s="210">
        <f t="shared" ref="I17:L17" si="9">H17*1.05</f>
        <v>0</v>
      </c>
      <c r="J17" s="210">
        <f t="shared" si="9"/>
        <v>0</v>
      </c>
      <c r="K17" s="210">
        <f t="shared" si="9"/>
        <v>0</v>
      </c>
      <c r="L17" s="635">
        <f t="shared" si="9"/>
        <v>0</v>
      </c>
    </row>
    <row r="18" spans="1:12" x14ac:dyDescent="0.35">
      <c r="A18" s="189" t="s">
        <v>254</v>
      </c>
      <c r="B18" s="103" t="s">
        <v>1267</v>
      </c>
      <c r="C18" s="103">
        <v>29300</v>
      </c>
      <c r="D18" s="103">
        <v>18.2</v>
      </c>
      <c r="E18" s="103"/>
      <c r="F18" s="105">
        <f t="shared" ref="F18:F22" si="10">C18*D18/100</f>
        <v>5332.6</v>
      </c>
      <c r="G18" s="209">
        <v>34</v>
      </c>
      <c r="H18" s="210">
        <f t="shared" si="2"/>
        <v>181.30840000000003</v>
      </c>
      <c r="I18" s="210">
        <f t="shared" ref="I18:L18" si="11">H18*1.05</f>
        <v>190.37382000000005</v>
      </c>
      <c r="J18" s="210">
        <f t="shared" si="11"/>
        <v>199.89251100000007</v>
      </c>
      <c r="K18" s="210">
        <f t="shared" si="11"/>
        <v>209.88713655000009</v>
      </c>
      <c r="L18" s="635">
        <f t="shared" si="11"/>
        <v>220.38149337750011</v>
      </c>
    </row>
    <row r="19" spans="1:12" x14ac:dyDescent="0.35">
      <c r="A19" s="189" t="s">
        <v>1268</v>
      </c>
      <c r="B19" s="103" t="s">
        <v>1267</v>
      </c>
      <c r="C19" s="103">
        <v>49600</v>
      </c>
      <c r="D19" s="103">
        <v>18.2</v>
      </c>
      <c r="E19" s="103"/>
      <c r="F19" s="105">
        <f t="shared" si="10"/>
        <v>9027.2000000000007</v>
      </c>
      <c r="G19" s="209">
        <v>34</v>
      </c>
      <c r="H19" s="210">
        <f t="shared" si="2"/>
        <v>306.92480000000006</v>
      </c>
      <c r="I19" s="210">
        <f t="shared" ref="I19:L19" si="12">H19*1.05</f>
        <v>322.27104000000008</v>
      </c>
      <c r="J19" s="210">
        <f t="shared" si="12"/>
        <v>338.38459200000011</v>
      </c>
      <c r="K19" s="210">
        <f t="shared" si="12"/>
        <v>355.30382160000011</v>
      </c>
      <c r="L19" s="635">
        <f t="shared" si="12"/>
        <v>373.06901268000013</v>
      </c>
    </row>
    <row r="20" spans="1:12" x14ac:dyDescent="0.35">
      <c r="A20" s="189" t="s">
        <v>735</v>
      </c>
      <c r="B20" s="103" t="s">
        <v>734</v>
      </c>
      <c r="C20" s="103">
        <v>38000</v>
      </c>
      <c r="D20" s="103">
        <v>20.25</v>
      </c>
      <c r="E20" s="103"/>
      <c r="F20" s="105">
        <f t="shared" si="10"/>
        <v>7695</v>
      </c>
      <c r="G20" s="209">
        <v>33</v>
      </c>
      <c r="H20" s="210">
        <f t="shared" si="2"/>
        <v>253.935</v>
      </c>
      <c r="I20" s="210">
        <f t="shared" ref="I20:L20" si="13">H20*1.05</f>
        <v>266.63175000000001</v>
      </c>
      <c r="J20" s="210">
        <f t="shared" si="13"/>
        <v>279.96333750000002</v>
      </c>
      <c r="K20" s="210">
        <f t="shared" si="13"/>
        <v>293.96150437500006</v>
      </c>
      <c r="L20" s="635">
        <f t="shared" si="13"/>
        <v>308.6595795937501</v>
      </c>
    </row>
    <row r="21" spans="1:12" x14ac:dyDescent="0.35">
      <c r="A21" s="211" t="s">
        <v>1266</v>
      </c>
      <c r="B21" s="103" t="s">
        <v>734</v>
      </c>
      <c r="C21" s="103">
        <v>16000</v>
      </c>
      <c r="D21" s="103">
        <v>18.3</v>
      </c>
      <c r="E21" s="103"/>
      <c r="F21" s="105">
        <f t="shared" si="10"/>
        <v>2928</v>
      </c>
      <c r="G21" s="209">
        <v>33</v>
      </c>
      <c r="H21" s="210">
        <f t="shared" si="2"/>
        <v>96.623999999999995</v>
      </c>
      <c r="I21" s="210">
        <f t="shared" ref="I21:L21" si="14">H21*1.05</f>
        <v>101.4552</v>
      </c>
      <c r="J21" s="210">
        <f t="shared" si="14"/>
        <v>106.52796000000001</v>
      </c>
      <c r="K21" s="210">
        <f t="shared" si="14"/>
        <v>111.85435800000002</v>
      </c>
      <c r="L21" s="635">
        <f t="shared" si="14"/>
        <v>117.44707590000003</v>
      </c>
    </row>
    <row r="22" spans="1:12" x14ac:dyDescent="0.35">
      <c r="A22" s="211" t="s">
        <v>886</v>
      </c>
      <c r="B22" s="103" t="s">
        <v>887</v>
      </c>
      <c r="C22" s="190">
        <v>12400</v>
      </c>
      <c r="D22" s="103">
        <v>23.6</v>
      </c>
      <c r="E22" s="103"/>
      <c r="F22" s="105">
        <f t="shared" si="10"/>
        <v>2926.4</v>
      </c>
      <c r="G22" s="103">
        <v>33</v>
      </c>
      <c r="H22" s="210">
        <f t="shared" si="2"/>
        <v>96.57119999999999</v>
      </c>
      <c r="I22" s="210">
        <f t="shared" ref="I22:L22" si="15">H22*1.05</f>
        <v>101.39976</v>
      </c>
      <c r="J22" s="210">
        <f t="shared" si="15"/>
        <v>106.46974800000001</v>
      </c>
      <c r="K22" s="210">
        <f t="shared" si="15"/>
        <v>111.79323540000001</v>
      </c>
      <c r="L22" s="635">
        <f t="shared" si="15"/>
        <v>117.38289717000002</v>
      </c>
    </row>
    <row r="23" spans="1:12" ht="15" thickBot="1" x14ac:dyDescent="0.4">
      <c r="A23" s="191" t="s">
        <v>84</v>
      </c>
      <c r="B23" s="217"/>
      <c r="C23" s="217"/>
      <c r="D23" s="217"/>
      <c r="E23" s="217"/>
      <c r="F23" s="217"/>
      <c r="G23" s="217"/>
      <c r="H23" s="632">
        <f>SUM(H10:H22)</f>
        <v>1972.18426</v>
      </c>
      <c r="I23" s="632">
        <f t="shared" ref="I23:L23" si="16">SUM(I10:I22)</f>
        <v>2070.7934730000002</v>
      </c>
      <c r="J23" s="632">
        <f t="shared" si="16"/>
        <v>2174.3331466500003</v>
      </c>
      <c r="K23" s="218">
        <f t="shared" si="16"/>
        <v>2283.0498039825002</v>
      </c>
      <c r="L23" s="636">
        <f t="shared" si="16"/>
        <v>2397.2022941816253</v>
      </c>
    </row>
    <row r="26" spans="1:12" x14ac:dyDescent="0.35">
      <c r="A26" s="41" t="s">
        <v>885</v>
      </c>
    </row>
  </sheetData>
  <mergeCells count="6">
    <mergeCell ref="G8:G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workbookViewId="0">
      <selection activeCell="B10" sqref="B10"/>
    </sheetView>
  </sheetViews>
  <sheetFormatPr defaultRowHeight="14.5" x14ac:dyDescent="0.35"/>
  <cols>
    <col min="1" max="1" width="8.81640625" style="41" customWidth="1"/>
    <col min="2" max="2" width="39.1796875" style="41" customWidth="1"/>
    <col min="3" max="3" width="13.453125" style="41" customWidth="1"/>
    <col min="4" max="4" width="13.08984375" style="41" customWidth="1"/>
    <col min="5" max="5" width="11.54296875" style="41" customWidth="1"/>
    <col min="6" max="6" width="11.453125" style="41" customWidth="1"/>
    <col min="7" max="7" width="11.1796875" style="41" customWidth="1"/>
    <col min="8" max="16384" width="8.7265625" style="41"/>
  </cols>
  <sheetData>
    <row r="1" spans="1:7" ht="15.5" x14ac:dyDescent="0.35">
      <c r="A1" s="358"/>
      <c r="B1" s="358"/>
      <c r="C1" s="924" t="s">
        <v>1263</v>
      </c>
    </row>
    <row r="2" spans="1:7" ht="15.5" customHeight="1" x14ac:dyDescent="0.35">
      <c r="A2" s="1456" t="s">
        <v>1091</v>
      </c>
      <c r="B2" s="1456"/>
      <c r="C2" s="1456"/>
    </row>
    <row r="3" spans="1:7" ht="15.75" customHeight="1" x14ac:dyDescent="0.35">
      <c r="A3" s="1456"/>
      <c r="B3" s="1456"/>
      <c r="C3" s="1456"/>
    </row>
    <row r="4" spans="1:7" ht="15.75" customHeight="1" x14ac:dyDescent="0.35">
      <c r="A4" s="918"/>
      <c r="B4" s="918"/>
      <c r="C4" s="918"/>
    </row>
    <row r="5" spans="1:7" ht="15.5" customHeight="1" x14ac:dyDescent="0.35">
      <c r="A5" s="541"/>
      <c r="B5" s="541" t="s">
        <v>217</v>
      </c>
      <c r="C5" s="541"/>
    </row>
    <row r="6" spans="1:7" ht="15.5" x14ac:dyDescent="0.35">
      <c r="A6" s="358"/>
      <c r="B6" s="358"/>
      <c r="C6" s="358"/>
    </row>
    <row r="7" spans="1:7" ht="40.5" customHeight="1" x14ac:dyDescent="0.35">
      <c r="A7" s="893" t="s">
        <v>789</v>
      </c>
      <c r="B7" s="893" t="s">
        <v>188</v>
      </c>
      <c r="C7" s="894" t="s">
        <v>1349</v>
      </c>
      <c r="D7" s="894" t="s">
        <v>1550</v>
      </c>
      <c r="E7" s="894" t="s">
        <v>1551</v>
      </c>
      <c r="F7" s="894" t="s">
        <v>1552</v>
      </c>
      <c r="G7" s="894" t="s">
        <v>1553</v>
      </c>
    </row>
    <row r="8" spans="1:7" ht="42" x14ac:dyDescent="0.35">
      <c r="A8" s="925" t="s">
        <v>26</v>
      </c>
      <c r="B8" s="926" t="s">
        <v>1092</v>
      </c>
      <c r="C8" s="359">
        <v>153770099</v>
      </c>
      <c r="D8" s="359">
        <v>153770099</v>
      </c>
      <c r="E8" s="359">
        <v>153770099</v>
      </c>
      <c r="F8" s="359">
        <v>153770099</v>
      </c>
      <c r="G8" s="359">
        <v>153770099</v>
      </c>
    </row>
    <row r="9" spans="1:7" ht="28.5" x14ac:dyDescent="0.35">
      <c r="A9" s="927" t="s">
        <v>28</v>
      </c>
      <c r="B9" s="928" t="s">
        <v>1095</v>
      </c>
      <c r="C9" s="359">
        <v>4886347.47</v>
      </c>
      <c r="D9" s="359">
        <v>7050000</v>
      </c>
      <c r="E9" s="359">
        <v>7485799.2999999998</v>
      </c>
      <c r="F9" s="359">
        <v>6850000</v>
      </c>
      <c r="G9" s="359">
        <v>7000000</v>
      </c>
    </row>
    <row r="10" spans="1:7" ht="28.5" x14ac:dyDescent="0.35">
      <c r="A10" s="927" t="s">
        <v>30</v>
      </c>
      <c r="B10" s="928" t="s">
        <v>790</v>
      </c>
      <c r="C10" s="359">
        <v>0</v>
      </c>
      <c r="D10" s="359">
        <v>0</v>
      </c>
      <c r="E10" s="359">
        <v>0</v>
      </c>
      <c r="F10" s="359">
        <v>0</v>
      </c>
      <c r="G10" s="359">
        <v>0</v>
      </c>
    </row>
    <row r="11" spans="1:7" ht="28.5" x14ac:dyDescent="0.35">
      <c r="A11" s="925" t="s">
        <v>206</v>
      </c>
      <c r="B11" s="928" t="s">
        <v>1093</v>
      </c>
      <c r="C11" s="359">
        <v>153770099</v>
      </c>
      <c r="D11" s="359">
        <v>153770099</v>
      </c>
      <c r="E11" s="359">
        <v>153770099</v>
      </c>
      <c r="F11" s="359">
        <v>153770099</v>
      </c>
      <c r="G11" s="359">
        <v>153770099</v>
      </c>
    </row>
    <row r="12" spans="1:7" x14ac:dyDescent="0.35">
      <c r="A12" s="927" t="s">
        <v>278</v>
      </c>
      <c r="B12" s="928" t="s">
        <v>791</v>
      </c>
      <c r="C12" s="929">
        <f>C13/C8*100</f>
        <v>3.831349552555078</v>
      </c>
      <c r="D12" s="929">
        <f t="shared" ref="D12:G12" si="0">D13/D8*100</f>
        <v>3.831349552555078</v>
      </c>
      <c r="E12" s="929">
        <f t="shared" si="0"/>
        <v>3.831349552555078</v>
      </c>
      <c r="F12" s="929">
        <f t="shared" si="0"/>
        <v>3.831349552555078</v>
      </c>
      <c r="G12" s="929">
        <f t="shared" si="0"/>
        <v>3.831349552555078</v>
      </c>
    </row>
    <row r="13" spans="1:7" x14ac:dyDescent="0.35">
      <c r="A13" s="927" t="s">
        <v>280</v>
      </c>
      <c r="B13" s="928" t="s">
        <v>1094</v>
      </c>
      <c r="C13" s="359">
        <v>5891470</v>
      </c>
      <c r="D13" s="359">
        <v>5891470</v>
      </c>
      <c r="E13" s="359">
        <v>5891470</v>
      </c>
      <c r="F13" s="359">
        <v>5891470</v>
      </c>
      <c r="G13" s="359">
        <v>5891470</v>
      </c>
    </row>
    <row r="14" spans="1:7" x14ac:dyDescent="0.35">
      <c r="A14" s="930"/>
      <c r="B14" s="931"/>
      <c r="C14" s="932"/>
    </row>
    <row r="15" spans="1:7" x14ac:dyDescent="0.35">
      <c r="A15" s="930"/>
      <c r="B15" s="931"/>
      <c r="C15" s="932"/>
    </row>
    <row r="17" spans="1:1" x14ac:dyDescent="0.35">
      <c r="A17" s="41" t="s">
        <v>1462</v>
      </c>
    </row>
  </sheetData>
  <mergeCells count="1">
    <mergeCell ref="A2:C3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workbookViewId="0">
      <selection activeCell="H31" sqref="H31"/>
    </sheetView>
  </sheetViews>
  <sheetFormatPr defaultRowHeight="14.5" x14ac:dyDescent="0.35"/>
  <cols>
    <col min="1" max="1" width="27.81640625" customWidth="1"/>
    <col min="2" max="2" width="17.81640625" customWidth="1"/>
    <col min="3" max="3" width="14.7265625" customWidth="1"/>
    <col min="4" max="4" width="12.7265625" customWidth="1"/>
    <col min="5" max="5" width="12.81640625" customWidth="1"/>
    <col min="6" max="6" width="14.08984375" customWidth="1"/>
    <col min="7" max="7" width="12.7265625" customWidth="1"/>
  </cols>
  <sheetData>
    <row r="1" spans="1:11" x14ac:dyDescent="0.35">
      <c r="A1" s="1460" t="s">
        <v>1089</v>
      </c>
      <c r="B1" s="1460"/>
      <c r="C1" s="1460"/>
      <c r="D1" s="1460"/>
      <c r="E1" s="1460"/>
      <c r="F1" s="1460"/>
      <c r="G1" s="1460"/>
      <c r="I1" s="81"/>
      <c r="J1" s="81"/>
      <c r="K1" s="81"/>
    </row>
    <row r="2" spans="1:11" ht="15" thickBot="1" x14ac:dyDescent="0.4">
      <c r="A2" s="1461" t="s">
        <v>1090</v>
      </c>
      <c r="B2" s="1461"/>
      <c r="C2" s="1461"/>
      <c r="D2" s="1461"/>
      <c r="E2" s="1461"/>
      <c r="F2" s="559" t="s">
        <v>295</v>
      </c>
      <c r="G2" s="206" t="s">
        <v>829</v>
      </c>
      <c r="I2" s="81"/>
      <c r="J2" s="81"/>
      <c r="K2" s="196"/>
    </row>
    <row r="3" spans="1:11" x14ac:dyDescent="0.35">
      <c r="A3" s="1457"/>
      <c r="B3" s="197" t="s">
        <v>792</v>
      </c>
      <c r="C3" s="197" t="s">
        <v>793</v>
      </c>
      <c r="D3" s="197" t="s">
        <v>794</v>
      </c>
      <c r="E3" s="197" t="s">
        <v>795</v>
      </c>
      <c r="F3" s="197" t="s">
        <v>796</v>
      </c>
      <c r="G3" s="197" t="s">
        <v>797</v>
      </c>
    </row>
    <row r="4" spans="1:11" x14ac:dyDescent="0.35">
      <c r="A4" s="1458"/>
      <c r="B4" s="198" t="s">
        <v>798</v>
      </c>
      <c r="C4" s="198" t="s">
        <v>799</v>
      </c>
      <c r="D4" s="198" t="s">
        <v>800</v>
      </c>
      <c r="E4" s="198" t="s">
        <v>801</v>
      </c>
      <c r="F4" s="198" t="s">
        <v>802</v>
      </c>
      <c r="G4" s="198" t="s">
        <v>803</v>
      </c>
    </row>
    <row r="5" spans="1:11" x14ac:dyDescent="0.35">
      <c r="A5" s="1458"/>
      <c r="B5" s="198" t="s">
        <v>804</v>
      </c>
      <c r="C5" s="198" t="s">
        <v>805</v>
      </c>
      <c r="D5" s="198" t="s">
        <v>806</v>
      </c>
      <c r="E5" s="198" t="s">
        <v>807</v>
      </c>
      <c r="F5" s="198" t="s">
        <v>676</v>
      </c>
      <c r="G5" s="199"/>
    </row>
    <row r="6" spans="1:11" x14ac:dyDescent="0.35">
      <c r="A6" s="1458"/>
      <c r="B6" s="198" t="s">
        <v>808</v>
      </c>
      <c r="C6" s="198" t="s">
        <v>809</v>
      </c>
      <c r="D6" s="198" t="s">
        <v>810</v>
      </c>
      <c r="E6" s="198" t="s">
        <v>811</v>
      </c>
      <c r="F6" s="199"/>
      <c r="G6" s="199"/>
    </row>
    <row r="7" spans="1:11" ht="15" thickBot="1" x14ac:dyDescent="0.4">
      <c r="A7" s="1459"/>
      <c r="B7" s="200" t="s">
        <v>821</v>
      </c>
      <c r="C7" s="200"/>
      <c r="D7" s="201" t="s">
        <v>812</v>
      </c>
      <c r="E7" s="201" t="s">
        <v>813</v>
      </c>
      <c r="F7" s="200"/>
      <c r="G7" s="200"/>
    </row>
    <row r="8" spans="1:11" ht="15" thickBot="1" x14ac:dyDescent="0.4">
      <c r="A8" s="202" t="s">
        <v>814</v>
      </c>
      <c r="B8" s="219">
        <f>B9+B14</f>
        <v>25492411</v>
      </c>
      <c r="C8" s="203"/>
      <c r="D8" s="203"/>
      <c r="E8" s="203">
        <f>E9+E14</f>
        <v>25492411</v>
      </c>
      <c r="F8" s="203">
        <f>F9+F14</f>
        <v>25492411</v>
      </c>
      <c r="G8" s="203">
        <f>G9+G14</f>
        <v>1219407</v>
      </c>
    </row>
    <row r="9" spans="1:11" ht="15" thickBot="1" x14ac:dyDescent="0.4">
      <c r="A9" s="202" t="s">
        <v>815</v>
      </c>
      <c r="B9" s="219">
        <f>B10+B11+B12+B13</f>
        <v>16920554</v>
      </c>
      <c r="C9" s="201"/>
      <c r="D9" s="201"/>
      <c r="E9" s="203">
        <f>E10+E11+E12+E13</f>
        <v>16920554</v>
      </c>
      <c r="F9" s="203">
        <f>F10+F11+F12+F13</f>
        <v>16920554</v>
      </c>
      <c r="G9" s="203">
        <f>G10+G11+G12+G13</f>
        <v>803873</v>
      </c>
    </row>
    <row r="10" spans="1:11" ht="15" thickBot="1" x14ac:dyDescent="0.4">
      <c r="A10" s="204" t="s">
        <v>147</v>
      </c>
      <c r="B10" s="201"/>
      <c r="C10" s="201"/>
      <c r="D10" s="201"/>
      <c r="E10" s="201"/>
      <c r="F10" s="201"/>
      <c r="G10" s="201"/>
    </row>
    <row r="11" spans="1:11" ht="15" thickBot="1" x14ac:dyDescent="0.4">
      <c r="A11" s="204" t="s">
        <v>148</v>
      </c>
      <c r="B11" s="201"/>
      <c r="C11" s="201"/>
      <c r="D11" s="201"/>
      <c r="E11" s="201"/>
      <c r="F11" s="201"/>
      <c r="G11" s="201"/>
    </row>
    <row r="12" spans="1:11" ht="15" thickBot="1" x14ac:dyDescent="0.4">
      <c r="A12" s="204" t="s">
        <v>816</v>
      </c>
      <c r="B12" s="201">
        <v>8872512</v>
      </c>
      <c r="C12" s="201"/>
      <c r="D12" s="201"/>
      <c r="E12" s="201">
        <f>B12+C12</f>
        <v>8872512</v>
      </c>
      <c r="F12" s="201">
        <f>E12</f>
        <v>8872512</v>
      </c>
      <c r="G12" s="201">
        <v>492897</v>
      </c>
    </row>
    <row r="13" spans="1:11" ht="15" thickBot="1" x14ac:dyDescent="0.4">
      <c r="A13" s="204" t="s">
        <v>150</v>
      </c>
      <c r="B13" s="201">
        <v>8048042</v>
      </c>
      <c r="C13" s="201"/>
      <c r="D13" s="201"/>
      <c r="E13" s="201">
        <f>B13</f>
        <v>8048042</v>
      </c>
      <c r="F13" s="201">
        <f>E13</f>
        <v>8048042</v>
      </c>
      <c r="G13" s="201">
        <v>310976</v>
      </c>
    </row>
    <row r="14" spans="1:11" ht="15" thickBot="1" x14ac:dyDescent="0.4">
      <c r="A14" s="202" t="s">
        <v>817</v>
      </c>
      <c r="B14" s="203">
        <f>B17+B18</f>
        <v>8571857</v>
      </c>
      <c r="C14" s="201"/>
      <c r="D14" s="201"/>
      <c r="E14" s="203">
        <f>E15+E16+E17+E18</f>
        <v>8571857</v>
      </c>
      <c r="F14" s="201">
        <f>F15+F16+F17+F18</f>
        <v>8571857</v>
      </c>
      <c r="G14" s="203">
        <f>G15+G16+G17+G18</f>
        <v>415534</v>
      </c>
    </row>
    <row r="15" spans="1:11" ht="15" thickBot="1" x14ac:dyDescent="0.4">
      <c r="A15" s="204" t="s">
        <v>147</v>
      </c>
      <c r="B15" s="201"/>
      <c r="C15" s="201"/>
      <c r="D15" s="201"/>
      <c r="E15" s="201"/>
      <c r="F15" s="201"/>
      <c r="G15" s="201"/>
    </row>
    <row r="16" spans="1:11" ht="15" thickBot="1" x14ac:dyDescent="0.4">
      <c r="A16" s="204" t="s">
        <v>148</v>
      </c>
      <c r="B16" s="201"/>
      <c r="C16" s="201"/>
      <c r="D16" s="201"/>
      <c r="E16" s="201"/>
      <c r="F16" s="201"/>
      <c r="G16" s="201"/>
    </row>
    <row r="17" spans="1:8" ht="15" thickBot="1" x14ac:dyDescent="0.4">
      <c r="A17" s="204" t="s">
        <v>816</v>
      </c>
      <c r="B17" s="205">
        <v>3107593</v>
      </c>
      <c r="C17" s="201"/>
      <c r="D17" s="201"/>
      <c r="E17" s="201">
        <f>B17</f>
        <v>3107593</v>
      </c>
      <c r="F17" s="201">
        <f>E17</f>
        <v>3107593</v>
      </c>
      <c r="G17" s="201">
        <v>220695</v>
      </c>
    </row>
    <row r="18" spans="1:8" ht="15" thickBot="1" x14ac:dyDescent="0.4">
      <c r="A18" s="204" t="s">
        <v>150</v>
      </c>
      <c r="B18" s="205">
        <v>5464264</v>
      </c>
      <c r="C18" s="201"/>
      <c r="D18" s="201"/>
      <c r="E18" s="201">
        <f>B18</f>
        <v>5464264</v>
      </c>
      <c r="F18" s="201">
        <f>E18</f>
        <v>5464264</v>
      </c>
      <c r="G18" s="201">
        <v>194839</v>
      </c>
    </row>
    <row r="19" spans="1:8" ht="17" customHeight="1" thickBot="1" x14ac:dyDescent="0.4">
      <c r="A19" s="202" t="s">
        <v>818</v>
      </c>
      <c r="B19" s="203">
        <f>B20+B21+B22+B23</f>
        <v>119650885</v>
      </c>
      <c r="C19" s="203"/>
      <c r="D19" s="203"/>
      <c r="E19" s="203">
        <f>E20+E21+E22+E23</f>
        <v>119650885</v>
      </c>
      <c r="F19" s="203">
        <f>F20+F21+F22+F23</f>
        <v>119650885</v>
      </c>
      <c r="G19" s="219">
        <f>G20+G21+G22+G23</f>
        <v>4277977</v>
      </c>
    </row>
    <row r="20" spans="1:8" ht="15" thickBot="1" x14ac:dyDescent="0.4">
      <c r="A20" s="204" t="s">
        <v>147</v>
      </c>
      <c r="B20" s="201"/>
      <c r="C20" s="201"/>
      <c r="D20" s="201"/>
      <c r="E20" s="201"/>
      <c r="F20" s="201"/>
      <c r="G20" s="201"/>
    </row>
    <row r="21" spans="1:8" ht="15" thickBot="1" x14ac:dyDescent="0.4">
      <c r="A21" s="204" t="s">
        <v>148</v>
      </c>
      <c r="B21" s="201">
        <v>97000000</v>
      </c>
      <c r="C21" s="201"/>
      <c r="D21" s="201"/>
      <c r="E21" s="201">
        <f>B21</f>
        <v>97000000</v>
      </c>
      <c r="F21" s="201">
        <f>E21</f>
        <v>97000000</v>
      </c>
      <c r="G21" s="201">
        <v>3239799</v>
      </c>
    </row>
    <row r="22" spans="1:8" ht="15" thickBot="1" x14ac:dyDescent="0.4">
      <c r="A22" s="204" t="s">
        <v>816</v>
      </c>
      <c r="B22" s="201">
        <v>22650885</v>
      </c>
      <c r="C22" s="201"/>
      <c r="D22" s="201"/>
      <c r="E22" s="201">
        <f>B22+C22</f>
        <v>22650885</v>
      </c>
      <c r="F22" s="201">
        <f>E22</f>
        <v>22650885</v>
      </c>
      <c r="G22" s="563">
        <v>1038178</v>
      </c>
    </row>
    <row r="23" spans="1:8" ht="15" thickBot="1" x14ac:dyDescent="0.4">
      <c r="A23" s="204" t="s">
        <v>150</v>
      </c>
      <c r="B23" s="201"/>
      <c r="C23" s="201"/>
      <c r="D23" s="201"/>
      <c r="E23" s="201"/>
      <c r="F23" s="201"/>
      <c r="G23" s="201"/>
    </row>
    <row r="24" spans="1:8" ht="15" thickBot="1" x14ac:dyDescent="0.4">
      <c r="A24" s="202" t="s">
        <v>820</v>
      </c>
      <c r="B24" s="219">
        <f>B19+B8</f>
        <v>145143296</v>
      </c>
      <c r="C24" s="201"/>
      <c r="D24" s="201"/>
      <c r="E24" s="219">
        <f t="shared" ref="E24:G24" si="0">E19+E8</f>
        <v>145143296</v>
      </c>
      <c r="F24" s="219">
        <f t="shared" si="0"/>
        <v>145143296</v>
      </c>
      <c r="G24" s="219">
        <f t="shared" si="0"/>
        <v>5497384</v>
      </c>
    </row>
    <row r="25" spans="1:8" ht="16" customHeight="1" thickBot="1" x14ac:dyDescent="0.4">
      <c r="A25" s="202" t="s">
        <v>819</v>
      </c>
      <c r="B25" s="203">
        <f>B28+B29</f>
        <v>2130508</v>
      </c>
      <c r="C25" s="203"/>
      <c r="D25" s="203"/>
      <c r="E25" s="203">
        <f>E28+E29</f>
        <v>2130508</v>
      </c>
      <c r="F25" s="203">
        <f>F28+F29</f>
        <v>2130508</v>
      </c>
      <c r="G25" s="203">
        <f>G28+G29</f>
        <v>241428</v>
      </c>
    </row>
    <row r="26" spans="1:8" ht="15" thickBot="1" x14ac:dyDescent="0.4">
      <c r="A26" s="204" t="s">
        <v>147</v>
      </c>
      <c r="B26" s="201"/>
      <c r="C26" s="201"/>
      <c r="D26" s="201"/>
      <c r="E26" s="201"/>
      <c r="F26" s="201"/>
      <c r="G26" s="201"/>
    </row>
    <row r="27" spans="1:8" ht="15" thickBot="1" x14ac:dyDescent="0.4">
      <c r="A27" s="204" t="s">
        <v>148</v>
      </c>
      <c r="B27" s="201"/>
      <c r="C27" s="201"/>
      <c r="D27" s="201"/>
      <c r="E27" s="201"/>
      <c r="F27" s="201"/>
      <c r="G27" s="201"/>
    </row>
    <row r="28" spans="1:8" ht="17.25" customHeight="1" thickBot="1" x14ac:dyDescent="0.4">
      <c r="A28" s="204" t="s">
        <v>822</v>
      </c>
      <c r="B28" s="201"/>
      <c r="C28" s="201"/>
      <c r="D28" s="201"/>
      <c r="E28" s="201"/>
      <c r="F28" s="201"/>
      <c r="G28" s="201"/>
    </row>
    <row r="29" spans="1:8" ht="15.75" customHeight="1" thickBot="1" x14ac:dyDescent="0.4">
      <c r="A29" s="204" t="s">
        <v>823</v>
      </c>
      <c r="B29" s="201">
        <v>2130508</v>
      </c>
      <c r="C29" s="201"/>
      <c r="D29" s="201"/>
      <c r="E29" s="201">
        <f>B29+C29</f>
        <v>2130508</v>
      </c>
      <c r="F29" s="201">
        <f>E29</f>
        <v>2130508</v>
      </c>
      <c r="G29" s="201">
        <v>241428</v>
      </c>
    </row>
    <row r="30" spans="1:8" ht="17.5" customHeight="1" thickBot="1" x14ac:dyDescent="0.4">
      <c r="A30" s="202" t="s">
        <v>824</v>
      </c>
      <c r="B30" s="203">
        <v>6496295</v>
      </c>
      <c r="C30" s="201"/>
      <c r="D30" s="201"/>
      <c r="E30" s="203">
        <f>B30</f>
        <v>6496295</v>
      </c>
      <c r="F30" s="203">
        <f>E30</f>
        <v>6496295</v>
      </c>
      <c r="G30" s="203">
        <v>152658</v>
      </c>
    </row>
    <row r="31" spans="1:8" ht="14.25" customHeight="1" thickBot="1" x14ac:dyDescent="0.4">
      <c r="A31" s="202" t="s">
        <v>884</v>
      </c>
      <c r="B31" s="803">
        <f>B8+B19+B25+B30</f>
        <v>153770099</v>
      </c>
      <c r="C31" s="203">
        <f>C29+C12+C22</f>
        <v>0</v>
      </c>
      <c r="D31" s="203"/>
      <c r="E31" s="203">
        <f>E8+E19+E25+E30</f>
        <v>153770099</v>
      </c>
      <c r="F31" s="203">
        <f>F8+F19+F25+F30</f>
        <v>153770099</v>
      </c>
      <c r="G31" s="219">
        <f>G8+G19+G25+G30</f>
        <v>5891470</v>
      </c>
      <c r="H31">
        <f>G31/B31%</f>
        <v>3.8313495525550776</v>
      </c>
    </row>
    <row r="32" spans="1:8" x14ac:dyDescent="0.35">
      <c r="A32" t="s">
        <v>1462</v>
      </c>
      <c r="E32" s="1"/>
      <c r="F32" s="1"/>
      <c r="G32" s="1"/>
    </row>
  </sheetData>
  <mergeCells count="3">
    <mergeCell ref="A3:A7"/>
    <mergeCell ref="A1:G1"/>
    <mergeCell ref="A2:E2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0" workbookViewId="0">
      <selection activeCell="C16" sqref="C16"/>
    </sheetView>
  </sheetViews>
  <sheetFormatPr defaultColWidth="9.1796875" defaultRowHeight="14" x14ac:dyDescent="0.3"/>
  <cols>
    <col min="1" max="1" width="5.26953125" style="919" customWidth="1"/>
    <col min="2" max="2" width="9.1796875" style="919"/>
    <col min="3" max="3" width="71" style="922" customWidth="1"/>
    <col min="4" max="16384" width="9.1796875" style="919"/>
  </cols>
  <sheetData>
    <row r="1" spans="1:4" ht="27.5" customHeight="1" x14ac:dyDescent="0.3">
      <c r="B1" s="1462" t="s">
        <v>1534</v>
      </c>
      <c r="C1" s="1462"/>
    </row>
    <row r="3" spans="1:4" s="921" customFormat="1" ht="34.5" x14ac:dyDescent="0.3">
      <c r="A3" s="920" t="s">
        <v>1535</v>
      </c>
      <c r="B3" s="920" t="s">
        <v>1536</v>
      </c>
      <c r="C3" s="923" t="s">
        <v>226</v>
      </c>
      <c r="D3" s="920" t="s">
        <v>1537</v>
      </c>
    </row>
    <row r="4" spans="1:4" ht="28.5" customHeight="1" x14ac:dyDescent="0.3">
      <c r="A4" s="1463">
        <v>2018</v>
      </c>
      <c r="B4" s="1466">
        <f>D4+D5+D6+D7</f>
        <v>4886347.47</v>
      </c>
      <c r="C4" s="933" t="s">
        <v>1538</v>
      </c>
      <c r="D4" s="938">
        <v>600000</v>
      </c>
    </row>
    <row r="5" spans="1:4" x14ac:dyDescent="0.3">
      <c r="A5" s="1464"/>
      <c r="B5" s="1467"/>
      <c r="C5" s="934" t="s">
        <v>1539</v>
      </c>
      <c r="D5" s="938">
        <v>950000</v>
      </c>
    </row>
    <row r="6" spans="1:4" ht="56" x14ac:dyDescent="0.3">
      <c r="A6" s="1464"/>
      <c r="B6" s="1467"/>
      <c r="C6" s="934" t="s">
        <v>1540</v>
      </c>
      <c r="D6" s="938">
        <v>836347.47</v>
      </c>
    </row>
    <row r="7" spans="1:4" ht="14.5" thickBot="1" x14ac:dyDescent="0.35">
      <c r="A7" s="1465"/>
      <c r="B7" s="1468"/>
      <c r="C7" s="935" t="s">
        <v>1541</v>
      </c>
      <c r="D7" s="938">
        <v>2500000</v>
      </c>
    </row>
    <row r="8" spans="1:4" ht="14.5" customHeight="1" x14ac:dyDescent="0.3">
      <c r="A8" s="1469">
        <v>2019</v>
      </c>
      <c r="B8" s="1470">
        <f>D8+D9+D10</f>
        <v>7050000</v>
      </c>
      <c r="C8" s="936" t="s">
        <v>1542</v>
      </c>
      <c r="D8" s="938">
        <v>4600000</v>
      </c>
    </row>
    <row r="9" spans="1:4" x14ac:dyDescent="0.3">
      <c r="A9" s="1464"/>
      <c r="B9" s="1467"/>
      <c r="C9" s="934" t="s">
        <v>1543</v>
      </c>
      <c r="D9" s="938">
        <v>950000</v>
      </c>
    </row>
    <row r="10" spans="1:4" ht="14.5" thickBot="1" x14ac:dyDescent="0.35">
      <c r="A10" s="1465"/>
      <c r="B10" s="1468"/>
      <c r="C10" s="935" t="s">
        <v>1541</v>
      </c>
      <c r="D10" s="938">
        <v>1500000</v>
      </c>
    </row>
    <row r="11" spans="1:4" ht="14.5" customHeight="1" x14ac:dyDescent="0.3">
      <c r="A11" s="1469">
        <v>2020</v>
      </c>
      <c r="B11" s="1470">
        <f>D11+D12+D13</f>
        <v>7485799.2999999998</v>
      </c>
      <c r="C11" s="936" t="s">
        <v>1544</v>
      </c>
      <c r="D11" s="938">
        <v>4900000</v>
      </c>
    </row>
    <row r="12" spans="1:4" x14ac:dyDescent="0.3">
      <c r="A12" s="1464"/>
      <c r="B12" s="1467"/>
      <c r="C12" s="934" t="s">
        <v>1545</v>
      </c>
      <c r="D12" s="938">
        <v>900000</v>
      </c>
    </row>
    <row r="13" spans="1:4" ht="56.5" thickBot="1" x14ac:dyDescent="0.35">
      <c r="A13" s="1465"/>
      <c r="B13" s="1468"/>
      <c r="C13" s="937" t="s">
        <v>1546</v>
      </c>
      <c r="D13" s="938">
        <v>1685799.3</v>
      </c>
    </row>
    <row r="14" spans="1:4" ht="14.5" customHeight="1" x14ac:dyDescent="0.3">
      <c r="A14" s="1469">
        <v>2021</v>
      </c>
      <c r="B14" s="1470">
        <f>D14+D15</f>
        <v>6850000</v>
      </c>
      <c r="C14" s="936" t="s">
        <v>1547</v>
      </c>
      <c r="D14" s="938">
        <v>5350000</v>
      </c>
    </row>
    <row r="15" spans="1:4" ht="14.5" thickBot="1" x14ac:dyDescent="0.35">
      <c r="A15" s="1465"/>
      <c r="B15" s="1468"/>
      <c r="C15" s="935" t="s">
        <v>1541</v>
      </c>
      <c r="D15" s="938">
        <v>1500000</v>
      </c>
    </row>
    <row r="16" spans="1:4" ht="14.5" customHeight="1" x14ac:dyDescent="0.3">
      <c r="A16" s="1469">
        <v>2022</v>
      </c>
      <c r="B16" s="1470">
        <f>D16+D17</f>
        <v>7000000</v>
      </c>
      <c r="C16" s="936" t="s">
        <v>1548</v>
      </c>
      <c r="D16" s="939">
        <v>5800000</v>
      </c>
    </row>
    <row r="17" spans="1:4" ht="14.5" thickBot="1" x14ac:dyDescent="0.35">
      <c r="A17" s="1465"/>
      <c r="B17" s="1468"/>
      <c r="C17" s="935" t="s">
        <v>1541</v>
      </c>
      <c r="D17" s="939">
        <v>1200000</v>
      </c>
    </row>
    <row r="18" spans="1:4" x14ac:dyDescent="0.3">
      <c r="D18" s="940">
        <f>SUM(D4:D17)</f>
        <v>33272146.77</v>
      </c>
    </row>
    <row r="20" spans="1:4" ht="28" x14ac:dyDescent="0.3">
      <c r="C20" s="922" t="s">
        <v>1549</v>
      </c>
    </row>
  </sheetData>
  <mergeCells count="11">
    <mergeCell ref="A14:A15"/>
    <mergeCell ref="B14:B15"/>
    <mergeCell ref="A16:A17"/>
    <mergeCell ref="B16:B17"/>
    <mergeCell ref="A11:A13"/>
    <mergeCell ref="B11:B13"/>
    <mergeCell ref="B1:C1"/>
    <mergeCell ref="A4:A7"/>
    <mergeCell ref="B4:B7"/>
    <mergeCell ref="A8:A10"/>
    <mergeCell ref="B8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88" workbookViewId="0">
      <selection activeCell="J33" sqref="J33"/>
    </sheetView>
  </sheetViews>
  <sheetFormatPr defaultRowHeight="11.5" x14ac:dyDescent="0.3"/>
  <cols>
    <col min="1" max="1" width="33.7265625" style="696" customWidth="1"/>
    <col min="2" max="2" width="10.36328125" style="696" customWidth="1"/>
    <col min="3" max="3" width="8.7265625" style="696"/>
    <col min="4" max="4" width="11" style="696" customWidth="1"/>
    <col min="5" max="5" width="8.453125" style="696" customWidth="1"/>
    <col min="6" max="6" width="8.7265625" style="696"/>
    <col min="7" max="7" width="1.6328125" style="696" customWidth="1"/>
    <col min="8" max="16384" width="8.7265625" style="696"/>
  </cols>
  <sheetData>
    <row r="1" spans="1:7" x14ac:dyDescent="0.3">
      <c r="A1" s="1095" t="s">
        <v>936</v>
      </c>
      <c r="B1" s="1095"/>
      <c r="C1" s="1095"/>
      <c r="D1" s="1095"/>
      <c r="E1" s="1095"/>
      <c r="F1" s="1095"/>
      <c r="G1" s="695"/>
    </row>
    <row r="2" spans="1:7" ht="14.5" customHeight="1" x14ac:dyDescent="0.3">
      <c r="A2" s="1096" t="s">
        <v>937</v>
      </c>
      <c r="B2" s="1096"/>
      <c r="C2" s="1096"/>
      <c r="D2" s="1096"/>
      <c r="E2" s="1096"/>
      <c r="F2" s="1096"/>
      <c r="G2" s="697"/>
    </row>
    <row r="3" spans="1:7" ht="2.5" customHeight="1" x14ac:dyDescent="0.3">
      <c r="A3" s="1096"/>
      <c r="B3" s="1096"/>
      <c r="C3" s="1096"/>
      <c r="D3" s="1096"/>
      <c r="E3" s="1096"/>
      <c r="F3" s="1096"/>
      <c r="G3" s="697"/>
    </row>
    <row r="4" spans="1:7" ht="13" customHeight="1" thickBot="1" x14ac:dyDescent="0.35">
      <c r="A4" s="698"/>
    </row>
    <row r="5" spans="1:7" ht="15" customHeight="1" x14ac:dyDescent="0.3">
      <c r="A5" s="1097" t="s">
        <v>39</v>
      </c>
      <c r="B5" s="1100" t="s">
        <v>40</v>
      </c>
      <c r="C5" s="1100" t="s">
        <v>938</v>
      </c>
      <c r="D5" s="1103" t="s">
        <v>899</v>
      </c>
      <c r="E5" s="1106" t="s">
        <v>900</v>
      </c>
      <c r="F5" s="1109" t="s">
        <v>901</v>
      </c>
    </row>
    <row r="6" spans="1:7" ht="14.5" customHeight="1" x14ac:dyDescent="0.3">
      <c r="A6" s="1098"/>
      <c r="B6" s="1101"/>
      <c r="C6" s="1101"/>
      <c r="D6" s="1104"/>
      <c r="E6" s="1107"/>
      <c r="F6" s="1110"/>
    </row>
    <row r="7" spans="1:7" ht="26.5" customHeight="1" thickBot="1" x14ac:dyDescent="0.35">
      <c r="A7" s="1099"/>
      <c r="B7" s="1102"/>
      <c r="C7" s="1102"/>
      <c r="D7" s="1105"/>
      <c r="E7" s="1108"/>
      <c r="F7" s="1111"/>
    </row>
    <row r="8" spans="1:7" ht="14.5" customHeight="1" x14ac:dyDescent="0.3">
      <c r="A8" s="699" t="s">
        <v>854</v>
      </c>
      <c r="B8" s="699" t="s">
        <v>939</v>
      </c>
      <c r="C8" s="699" t="s">
        <v>940</v>
      </c>
      <c r="D8" s="700">
        <v>4</v>
      </c>
      <c r="E8" s="701">
        <v>5</v>
      </c>
      <c r="F8" s="701">
        <v>6</v>
      </c>
    </row>
    <row r="9" spans="1:7" x14ac:dyDescent="0.3">
      <c r="A9" s="404" t="s">
        <v>941</v>
      </c>
      <c r="B9" s="405"/>
      <c r="C9" s="702"/>
      <c r="D9" s="702"/>
      <c r="E9" s="1113" t="s">
        <v>942</v>
      </c>
      <c r="F9" s="702"/>
    </row>
    <row r="10" spans="1:7" x14ac:dyDescent="0.3">
      <c r="A10" s="406" t="s">
        <v>43</v>
      </c>
      <c r="B10" s="405" t="s">
        <v>41</v>
      </c>
      <c r="C10" s="702">
        <v>24.4</v>
      </c>
      <c r="D10" s="703">
        <f>C10*F10</f>
        <v>1.4395999999999998</v>
      </c>
      <c r="E10" s="1113"/>
      <c r="F10" s="702">
        <v>5.8999999999999997E-2</v>
      </c>
    </row>
    <row r="11" spans="1:7" x14ac:dyDescent="0.3">
      <c r="A11" s="406" t="s">
        <v>44</v>
      </c>
      <c r="B11" s="405" t="s">
        <v>41</v>
      </c>
      <c r="C11" s="702">
        <v>16.309999999999999</v>
      </c>
      <c r="D11" s="703">
        <f>C11*F11</f>
        <v>0.96228999999999987</v>
      </c>
      <c r="E11" s="1113"/>
      <c r="F11" s="702">
        <v>5.8999999999999997E-2</v>
      </c>
    </row>
    <row r="12" spans="1:7" x14ac:dyDescent="0.3">
      <c r="A12" s="407" t="s">
        <v>15</v>
      </c>
      <c r="B12" s="408"/>
      <c r="C12" s="704"/>
      <c r="D12" s="705">
        <f>SUM(D10:D11)</f>
        <v>2.4018899999999999</v>
      </c>
      <c r="E12" s="1113"/>
      <c r="F12" s="702"/>
    </row>
    <row r="13" spans="1:7" ht="20" customHeight="1" x14ac:dyDescent="0.3">
      <c r="A13" s="1114" t="s">
        <v>1258</v>
      </c>
      <c r="B13" s="1115"/>
      <c r="C13" s="702">
        <v>1.26</v>
      </c>
      <c r="D13" s="706">
        <f>(D10+D11)*1.26</f>
        <v>3.0263814</v>
      </c>
      <c r="E13" s="1113"/>
      <c r="F13" s="702"/>
    </row>
    <row r="14" spans="1:7" x14ac:dyDescent="0.3">
      <c r="A14" s="404" t="s">
        <v>42</v>
      </c>
      <c r="B14" s="409"/>
      <c r="C14" s="702"/>
      <c r="D14" s="702"/>
      <c r="E14" s="1113"/>
      <c r="F14" s="702"/>
    </row>
    <row r="15" spans="1:7" x14ac:dyDescent="0.3">
      <c r="A15" s="406" t="s">
        <v>43</v>
      </c>
      <c r="B15" s="405" t="s">
        <v>41</v>
      </c>
      <c r="C15" s="702"/>
      <c r="D15" s="702"/>
      <c r="E15" s="1113"/>
      <c r="F15" s="702">
        <v>0.04</v>
      </c>
    </row>
    <row r="16" spans="1:7" x14ac:dyDescent="0.3">
      <c r="A16" s="406" t="s">
        <v>44</v>
      </c>
      <c r="B16" s="405" t="s">
        <v>41</v>
      </c>
      <c r="C16" s="702">
        <v>1.1000000000000001</v>
      </c>
      <c r="D16" s="702">
        <f>C16*F16</f>
        <v>5.5000000000000007E-2</v>
      </c>
      <c r="E16" s="1113"/>
      <c r="F16" s="702">
        <v>0.05</v>
      </c>
    </row>
    <row r="17" spans="1:6" x14ac:dyDescent="0.3">
      <c r="A17" s="406" t="s">
        <v>1260</v>
      </c>
      <c r="B17" s="405" t="s">
        <v>41</v>
      </c>
      <c r="C17" s="702">
        <v>41.9</v>
      </c>
      <c r="D17" s="702">
        <f t="shared" ref="D17:D18" si="0">C17*F17</f>
        <v>1.8855</v>
      </c>
      <c r="E17" s="1113"/>
      <c r="F17" s="702">
        <v>4.4999999999999998E-2</v>
      </c>
    </row>
    <row r="18" spans="1:6" x14ac:dyDescent="0.3">
      <c r="A18" s="406" t="s">
        <v>1261</v>
      </c>
      <c r="B18" s="405" t="s">
        <v>41</v>
      </c>
      <c r="C18" s="702">
        <v>2.2000000000000002</v>
      </c>
      <c r="D18" s="702">
        <f t="shared" si="0"/>
        <v>9.9000000000000005E-2</v>
      </c>
      <c r="E18" s="1113"/>
      <c r="F18" s="702">
        <v>4.4999999999999998E-2</v>
      </c>
    </row>
    <row r="19" spans="1:6" x14ac:dyDescent="0.3">
      <c r="A19" s="404" t="s">
        <v>47</v>
      </c>
      <c r="B19" s="405"/>
      <c r="C19" s="702"/>
      <c r="D19" s="702"/>
      <c r="E19" s="1113"/>
      <c r="F19" s="702"/>
    </row>
    <row r="20" spans="1:6" x14ac:dyDescent="0.3">
      <c r="A20" s="406" t="s">
        <v>43</v>
      </c>
      <c r="B20" s="405" t="s">
        <v>41</v>
      </c>
      <c r="C20" s="702"/>
      <c r="D20" s="702"/>
      <c r="E20" s="1113"/>
      <c r="F20" s="702">
        <v>3.5000000000000003E-2</v>
      </c>
    </row>
    <row r="21" spans="1:6" x14ac:dyDescent="0.3">
      <c r="A21" s="406" t="s">
        <v>44</v>
      </c>
      <c r="B21" s="405" t="s">
        <v>41</v>
      </c>
      <c r="C21" s="702">
        <v>3.7</v>
      </c>
      <c r="D21" s="702">
        <f t="shared" ref="D21:D45" si="1">C21*F21</f>
        <v>0.12950000000000003</v>
      </c>
      <c r="E21" s="1113"/>
      <c r="F21" s="702">
        <v>3.5000000000000003E-2</v>
      </c>
    </row>
    <row r="22" spans="1:6" x14ac:dyDescent="0.3">
      <c r="A22" s="406" t="s">
        <v>45</v>
      </c>
      <c r="B22" s="405" t="s">
        <v>41</v>
      </c>
      <c r="C22" s="702">
        <v>95.2</v>
      </c>
      <c r="D22" s="702">
        <f t="shared" si="1"/>
        <v>3.8080000000000003</v>
      </c>
      <c r="E22" s="1113"/>
      <c r="F22" s="702">
        <v>0.04</v>
      </c>
    </row>
    <row r="23" spans="1:6" x14ac:dyDescent="0.3">
      <c r="A23" s="406" t="s">
        <v>46</v>
      </c>
      <c r="B23" s="405" t="s">
        <v>41</v>
      </c>
      <c r="C23" s="702">
        <v>6.9</v>
      </c>
      <c r="D23" s="702">
        <f t="shared" si="1"/>
        <v>0.3105</v>
      </c>
      <c r="E23" s="1113"/>
      <c r="F23" s="702">
        <v>4.4999999999999998E-2</v>
      </c>
    </row>
    <row r="24" spans="1:6" x14ac:dyDescent="0.3">
      <c r="A24" s="404" t="s">
        <v>48</v>
      </c>
      <c r="B24" s="405" t="s">
        <v>41</v>
      </c>
      <c r="C24" s="702">
        <v>19.399999999999999</v>
      </c>
      <c r="D24" s="702">
        <f t="shared" si="1"/>
        <v>0.58199999999999996</v>
      </c>
      <c r="E24" s="1116" t="s">
        <v>943</v>
      </c>
      <c r="F24" s="702">
        <v>0.03</v>
      </c>
    </row>
    <row r="25" spans="1:6" x14ac:dyDescent="0.3">
      <c r="A25" s="404" t="s">
        <v>49</v>
      </c>
      <c r="B25" s="405" t="s">
        <v>41</v>
      </c>
      <c r="C25" s="702">
        <v>17</v>
      </c>
      <c r="D25" s="702">
        <f t="shared" si="1"/>
        <v>0.59500000000000008</v>
      </c>
      <c r="E25" s="1116"/>
      <c r="F25" s="702">
        <v>3.5000000000000003E-2</v>
      </c>
    </row>
    <row r="26" spans="1:6" x14ac:dyDescent="0.3">
      <c r="A26" s="404" t="s">
        <v>944</v>
      </c>
      <c r="B26" s="405" t="s">
        <v>51</v>
      </c>
      <c r="C26" s="702">
        <v>878</v>
      </c>
      <c r="D26" s="702">
        <f t="shared" si="1"/>
        <v>0.17560000000000001</v>
      </c>
      <c r="E26" s="707" t="s">
        <v>945</v>
      </c>
      <c r="F26" s="702">
        <v>2.0000000000000001E-4</v>
      </c>
    </row>
    <row r="27" spans="1:6" x14ac:dyDescent="0.3">
      <c r="A27" s="404" t="s">
        <v>50</v>
      </c>
      <c r="B27" s="405" t="s">
        <v>51</v>
      </c>
      <c r="C27" s="702">
        <v>8</v>
      </c>
      <c r="D27" s="702">
        <f t="shared" si="1"/>
        <v>0.216</v>
      </c>
      <c r="E27" s="1117" t="s">
        <v>946</v>
      </c>
      <c r="F27" s="702">
        <v>2.7E-2</v>
      </c>
    </row>
    <row r="28" spans="1:6" ht="22" x14ac:dyDescent="0.3">
      <c r="A28" s="404" t="s">
        <v>52</v>
      </c>
      <c r="B28" s="405" t="s">
        <v>51</v>
      </c>
      <c r="C28" s="702">
        <v>49</v>
      </c>
      <c r="D28" s="702">
        <f t="shared" si="1"/>
        <v>1.2250000000000001</v>
      </c>
      <c r="E28" s="1113"/>
      <c r="F28" s="702">
        <v>2.5000000000000001E-2</v>
      </c>
    </row>
    <row r="29" spans="1:6" ht="22" x14ac:dyDescent="0.3">
      <c r="A29" s="404" t="s">
        <v>53</v>
      </c>
      <c r="B29" s="405" t="s">
        <v>51</v>
      </c>
      <c r="C29" s="702">
        <v>29</v>
      </c>
      <c r="D29" s="702">
        <f t="shared" si="1"/>
        <v>0.87</v>
      </c>
      <c r="E29" s="1113"/>
      <c r="F29" s="702">
        <v>0.03</v>
      </c>
    </row>
    <row r="30" spans="1:6" x14ac:dyDescent="0.3">
      <c r="A30" s="404" t="s">
        <v>947</v>
      </c>
      <c r="B30" s="405" t="s">
        <v>51</v>
      </c>
      <c r="C30" s="702"/>
      <c r="D30" s="702">
        <f t="shared" si="1"/>
        <v>0</v>
      </c>
      <c r="E30" s="1113"/>
      <c r="F30" s="702"/>
    </row>
    <row r="31" spans="1:6" ht="22" x14ac:dyDescent="0.3">
      <c r="A31" s="404" t="s">
        <v>54</v>
      </c>
      <c r="B31" s="405" t="s">
        <v>51</v>
      </c>
      <c r="C31" s="702">
        <v>1</v>
      </c>
      <c r="D31" s="702">
        <f t="shared" si="1"/>
        <v>4</v>
      </c>
      <c r="E31" s="1113"/>
      <c r="F31" s="702">
        <v>4</v>
      </c>
    </row>
    <row r="32" spans="1:6" x14ac:dyDescent="0.3">
      <c r="A32" s="1118" t="s">
        <v>1262</v>
      </c>
      <c r="B32" s="1119"/>
      <c r="C32" s="1119"/>
      <c r="D32" s="1119"/>
      <c r="E32" s="1120"/>
      <c r="F32" s="702"/>
    </row>
    <row r="33" spans="1:6" x14ac:dyDescent="0.3">
      <c r="A33" s="1121"/>
      <c r="B33" s="1122"/>
      <c r="C33" s="1122"/>
      <c r="D33" s="1122"/>
      <c r="E33" s="1123"/>
      <c r="F33" s="702"/>
    </row>
    <row r="34" spans="1:6" x14ac:dyDescent="0.3">
      <c r="A34" s="1124"/>
      <c r="B34" s="1125"/>
      <c r="C34" s="1125"/>
      <c r="D34" s="1125"/>
      <c r="E34" s="1126"/>
      <c r="F34" s="702"/>
    </row>
    <row r="35" spans="1:6" x14ac:dyDescent="0.3">
      <c r="A35" s="404" t="s">
        <v>55</v>
      </c>
      <c r="B35" s="405" t="s">
        <v>51</v>
      </c>
      <c r="C35" s="702"/>
      <c r="D35" s="702">
        <f t="shared" si="1"/>
        <v>0</v>
      </c>
      <c r="E35" s="707" t="s">
        <v>948</v>
      </c>
      <c r="F35" s="702"/>
    </row>
    <row r="36" spans="1:6" ht="22" x14ac:dyDescent="0.3">
      <c r="A36" s="404" t="s">
        <v>56</v>
      </c>
      <c r="B36" s="405"/>
      <c r="C36" s="702"/>
      <c r="D36" s="702"/>
      <c r="E36" s="1116" t="s">
        <v>949</v>
      </c>
      <c r="F36" s="702"/>
    </row>
    <row r="37" spans="1:6" x14ac:dyDescent="0.3">
      <c r="A37" s="406" t="s">
        <v>57</v>
      </c>
      <c r="B37" s="405" t="s">
        <v>51</v>
      </c>
      <c r="C37" s="702">
        <v>33</v>
      </c>
      <c r="D37" s="702">
        <f t="shared" si="1"/>
        <v>8.2500000000000004E-2</v>
      </c>
      <c r="E37" s="1116"/>
      <c r="F37" s="702">
        <v>2.5000000000000001E-3</v>
      </c>
    </row>
    <row r="38" spans="1:6" x14ac:dyDescent="0.3">
      <c r="A38" s="406" t="s">
        <v>58</v>
      </c>
      <c r="B38" s="405" t="s">
        <v>51</v>
      </c>
      <c r="C38" s="702">
        <v>345</v>
      </c>
      <c r="D38" s="702">
        <f t="shared" si="1"/>
        <v>0.69000000000000006</v>
      </c>
      <c r="E38" s="1116"/>
      <c r="F38" s="702">
        <v>2E-3</v>
      </c>
    </row>
    <row r="39" spans="1:6" ht="22" x14ac:dyDescent="0.3">
      <c r="A39" s="404" t="s">
        <v>950</v>
      </c>
      <c r="B39" s="405"/>
      <c r="C39" s="702"/>
      <c r="D39" s="702"/>
      <c r="E39" s="1116" t="s">
        <v>951</v>
      </c>
      <c r="F39" s="702"/>
    </row>
    <row r="40" spans="1:6" x14ac:dyDescent="0.3">
      <c r="A40" s="406" t="s">
        <v>952</v>
      </c>
      <c r="B40" s="405" t="s">
        <v>51</v>
      </c>
      <c r="C40" s="702">
        <v>1569</v>
      </c>
      <c r="D40" s="702">
        <f t="shared" si="1"/>
        <v>0.54915000000000003</v>
      </c>
      <c r="E40" s="1116"/>
      <c r="F40" s="702">
        <v>3.5E-4</v>
      </c>
    </row>
    <row r="41" spans="1:6" x14ac:dyDescent="0.3">
      <c r="A41" s="406" t="s">
        <v>953</v>
      </c>
      <c r="B41" s="405" t="s">
        <v>51</v>
      </c>
      <c r="C41" s="702">
        <v>2177</v>
      </c>
      <c r="D41" s="702">
        <f t="shared" si="1"/>
        <v>0.69664000000000004</v>
      </c>
      <c r="E41" s="1116"/>
      <c r="F41" s="702">
        <v>3.2000000000000003E-4</v>
      </c>
    </row>
    <row r="42" spans="1:6" ht="22" x14ac:dyDescent="0.3">
      <c r="A42" s="404" t="s">
        <v>954</v>
      </c>
      <c r="B42" s="405" t="s">
        <v>51</v>
      </c>
      <c r="C42" s="702">
        <v>702</v>
      </c>
      <c r="D42" s="702">
        <f t="shared" si="1"/>
        <v>1.8251999999999999</v>
      </c>
      <c r="E42" s="708" t="s">
        <v>955</v>
      </c>
      <c r="F42" s="702">
        <v>2.5999999999999999E-3</v>
      </c>
    </row>
    <row r="43" spans="1:6" x14ac:dyDescent="0.3">
      <c r="A43" s="404" t="s">
        <v>59</v>
      </c>
      <c r="B43" s="405" t="s">
        <v>130</v>
      </c>
      <c r="C43" s="702">
        <v>33</v>
      </c>
      <c r="D43" s="702">
        <f t="shared" si="1"/>
        <v>0.3135</v>
      </c>
      <c r="E43" s="1116" t="s">
        <v>956</v>
      </c>
      <c r="F43" s="702">
        <v>9.4999999999999998E-3</v>
      </c>
    </row>
    <row r="44" spans="1:6" ht="22" x14ac:dyDescent="0.3">
      <c r="A44" s="404" t="s">
        <v>60</v>
      </c>
      <c r="B44" s="405" t="s">
        <v>51</v>
      </c>
      <c r="C44" s="702">
        <v>345</v>
      </c>
      <c r="D44" s="702">
        <f t="shared" si="1"/>
        <v>1.3800000000000001</v>
      </c>
      <c r="E44" s="1116"/>
      <c r="F44" s="702">
        <v>4.0000000000000001E-3</v>
      </c>
    </row>
    <row r="45" spans="1:6" x14ac:dyDescent="0.3">
      <c r="A45" s="404" t="s">
        <v>61</v>
      </c>
      <c r="B45" s="405" t="s">
        <v>957</v>
      </c>
      <c r="C45" s="702">
        <v>1690.9</v>
      </c>
      <c r="D45" s="702">
        <f t="shared" si="1"/>
        <v>1.6909000000000001</v>
      </c>
      <c r="E45" s="707" t="s">
        <v>958</v>
      </c>
      <c r="F45" s="702">
        <v>1E-3</v>
      </c>
    </row>
    <row r="46" spans="1:6" x14ac:dyDescent="0.3">
      <c r="A46" s="1112" t="s">
        <v>884</v>
      </c>
      <c r="B46" s="1112"/>
      <c r="C46" s="1112"/>
      <c r="D46" s="709">
        <f>SUM(D13:D45)</f>
        <v>24.205371399999997</v>
      </c>
      <c r="E46" s="704"/>
      <c r="F46" s="704"/>
    </row>
    <row r="47" spans="1:6" x14ac:dyDescent="0.3">
      <c r="A47" s="1112" t="s">
        <v>62</v>
      </c>
      <c r="B47" s="1112"/>
      <c r="C47" s="710">
        <v>1.18</v>
      </c>
      <c r="D47" s="711">
        <f>D46*C47</f>
        <v>28.562338251999996</v>
      </c>
      <c r="E47" s="702"/>
      <c r="F47" s="702"/>
    </row>
    <row r="48" spans="1:6" x14ac:dyDescent="0.3">
      <c r="A48" s="1112" t="s">
        <v>63</v>
      </c>
      <c r="B48" s="1112"/>
      <c r="C48" s="704">
        <v>1.18</v>
      </c>
      <c r="D48" s="712">
        <f>D47*C48</f>
        <v>33.703559137359996</v>
      </c>
      <c r="E48" s="702"/>
      <c r="F48" s="702"/>
    </row>
    <row r="50" spans="1:6" ht="58.5" customHeight="1" x14ac:dyDescent="0.3"/>
    <row r="51" spans="1:6" x14ac:dyDescent="0.3">
      <c r="A51" s="1127" t="s">
        <v>959</v>
      </c>
      <c r="B51" s="1127"/>
      <c r="C51" s="1127"/>
      <c r="D51" s="1127"/>
      <c r="E51" s="1127"/>
      <c r="F51" s="1127"/>
    </row>
    <row r="52" spans="1:6" x14ac:dyDescent="0.3">
      <c r="A52" s="1128" t="s">
        <v>937</v>
      </c>
      <c r="B52" s="1128"/>
      <c r="C52" s="1128"/>
      <c r="D52" s="1128"/>
      <c r="E52" s="1128"/>
      <c r="F52" s="1128"/>
    </row>
    <row r="53" spans="1:6" ht="5" customHeight="1" x14ac:dyDescent="0.3">
      <c r="A53" s="1128"/>
      <c r="B53" s="1128"/>
      <c r="C53" s="1128"/>
      <c r="D53" s="1128"/>
      <c r="E53" s="1128"/>
      <c r="F53" s="1128"/>
    </row>
    <row r="54" spans="1:6" ht="12" thickBot="1" x14ac:dyDescent="0.35"/>
    <row r="55" spans="1:6" x14ac:dyDescent="0.3">
      <c r="A55" s="1097" t="s">
        <v>39</v>
      </c>
      <c r="B55" s="1100" t="s">
        <v>40</v>
      </c>
      <c r="C55" s="1100" t="s">
        <v>938</v>
      </c>
      <c r="D55" s="1103" t="s">
        <v>899</v>
      </c>
      <c r="E55" s="1106" t="s">
        <v>900</v>
      </c>
      <c r="F55" s="1109" t="s">
        <v>901</v>
      </c>
    </row>
    <row r="56" spans="1:6" x14ac:dyDescent="0.3">
      <c r="A56" s="1098"/>
      <c r="B56" s="1101"/>
      <c r="C56" s="1101"/>
      <c r="D56" s="1104"/>
      <c r="E56" s="1107"/>
      <c r="F56" s="1110"/>
    </row>
    <row r="57" spans="1:6" ht="12" thickBot="1" x14ac:dyDescent="0.35">
      <c r="A57" s="1099"/>
      <c r="B57" s="1102"/>
      <c r="C57" s="1102"/>
      <c r="D57" s="1105"/>
      <c r="E57" s="1108"/>
      <c r="F57" s="1111"/>
    </row>
    <row r="58" spans="1:6" ht="12" thickBot="1" x14ac:dyDescent="0.35">
      <c r="A58" s="713">
        <v>1</v>
      </c>
      <c r="B58" s="714">
        <v>2</v>
      </c>
      <c r="C58" s="714">
        <v>3</v>
      </c>
      <c r="D58" s="714">
        <v>4</v>
      </c>
      <c r="E58" s="714">
        <v>5</v>
      </c>
      <c r="F58" s="715">
        <v>6</v>
      </c>
    </row>
    <row r="59" spans="1:6" x14ac:dyDescent="0.3">
      <c r="A59" s="410" t="s">
        <v>64</v>
      </c>
      <c r="B59" s="716" t="s">
        <v>51</v>
      </c>
      <c r="C59" s="717">
        <v>6</v>
      </c>
      <c r="D59" s="717">
        <v>6</v>
      </c>
      <c r="E59" s="717"/>
      <c r="F59" s="717"/>
    </row>
    <row r="60" spans="1:6" x14ac:dyDescent="0.3">
      <c r="A60" s="411" t="s">
        <v>1259</v>
      </c>
      <c r="B60" s="409" t="s">
        <v>51</v>
      </c>
      <c r="C60" s="702">
        <v>4</v>
      </c>
      <c r="D60" s="702">
        <v>4</v>
      </c>
      <c r="E60" s="702"/>
      <c r="F60" s="702"/>
    </row>
    <row r="61" spans="1:6" x14ac:dyDescent="0.3">
      <c r="A61" s="411" t="s">
        <v>65</v>
      </c>
      <c r="B61" s="409" t="s">
        <v>51</v>
      </c>
      <c r="C61" s="702">
        <v>1</v>
      </c>
      <c r="D61" s="702">
        <v>1</v>
      </c>
      <c r="E61" s="702"/>
      <c r="F61" s="702"/>
    </row>
    <row r="62" spans="1:6" x14ac:dyDescent="0.3">
      <c r="A62" s="411" t="s">
        <v>105</v>
      </c>
      <c r="B62" s="409" t="s">
        <v>51</v>
      </c>
      <c r="C62" s="702">
        <v>1</v>
      </c>
      <c r="D62" s="702">
        <v>1</v>
      </c>
      <c r="E62" s="702"/>
      <c r="F62" s="702"/>
    </row>
    <row r="63" spans="1:6" x14ac:dyDescent="0.3">
      <c r="A63" s="411" t="s">
        <v>1336</v>
      </c>
      <c r="B63" s="409" t="s">
        <v>51</v>
      </c>
      <c r="C63" s="702">
        <v>3</v>
      </c>
      <c r="D63" s="702">
        <v>3</v>
      </c>
      <c r="E63" s="702"/>
      <c r="F63" s="702"/>
    </row>
    <row r="64" spans="1:6" ht="22" x14ac:dyDescent="0.3">
      <c r="A64" s="411" t="s">
        <v>66</v>
      </c>
      <c r="B64" s="409" t="s">
        <v>51</v>
      </c>
      <c r="C64" s="702"/>
      <c r="D64" s="702">
        <v>1</v>
      </c>
      <c r="E64" s="702"/>
      <c r="F64" s="702"/>
    </row>
    <row r="65" spans="1:6" ht="22" x14ac:dyDescent="0.3">
      <c r="A65" s="411" t="s">
        <v>1441</v>
      </c>
      <c r="B65" s="409" t="s">
        <v>51</v>
      </c>
      <c r="C65" s="702"/>
      <c r="D65" s="702">
        <v>1</v>
      </c>
      <c r="E65" s="702"/>
      <c r="F65" s="702"/>
    </row>
    <row r="66" spans="1:6" x14ac:dyDescent="0.3">
      <c r="A66" s="1112" t="s">
        <v>884</v>
      </c>
      <c r="B66" s="1112"/>
      <c r="C66" s="1112"/>
      <c r="D66" s="702">
        <f>SUM(D59:D65)</f>
        <v>17</v>
      </c>
      <c r="E66" s="702"/>
      <c r="F66" s="702"/>
    </row>
    <row r="67" spans="1:6" x14ac:dyDescent="0.3">
      <c r="A67" s="1112" t="s">
        <v>63</v>
      </c>
      <c r="B67" s="1112"/>
      <c r="C67" s="704">
        <v>1.18</v>
      </c>
      <c r="D67" s="710">
        <f>D66*C67</f>
        <v>20.059999999999999</v>
      </c>
      <c r="E67" s="702"/>
      <c r="F67" s="702"/>
    </row>
    <row r="69" spans="1:6" x14ac:dyDescent="0.3">
      <c r="A69" s="1127" t="s">
        <v>960</v>
      </c>
      <c r="B69" s="1127"/>
      <c r="C69" s="1127"/>
      <c r="D69" s="1127"/>
      <c r="E69" s="1127"/>
      <c r="F69" s="1127"/>
    </row>
    <row r="70" spans="1:6" x14ac:dyDescent="0.3">
      <c r="A70" s="1128" t="s">
        <v>937</v>
      </c>
      <c r="B70" s="1128"/>
      <c r="C70" s="1128"/>
      <c r="D70" s="1128"/>
      <c r="E70" s="1128"/>
      <c r="F70" s="1128"/>
    </row>
    <row r="71" spans="1:6" ht="12" thickBot="1" x14ac:dyDescent="0.35"/>
    <row r="72" spans="1:6" x14ac:dyDescent="0.3">
      <c r="A72" s="1097" t="s">
        <v>39</v>
      </c>
      <c r="B72" s="1100" t="s">
        <v>40</v>
      </c>
      <c r="C72" s="1100" t="s">
        <v>938</v>
      </c>
      <c r="D72" s="1103" t="s">
        <v>899</v>
      </c>
      <c r="E72" s="1106" t="s">
        <v>900</v>
      </c>
      <c r="F72" s="1109" t="s">
        <v>901</v>
      </c>
    </row>
    <row r="73" spans="1:6" x14ac:dyDescent="0.3">
      <c r="A73" s="1098"/>
      <c r="B73" s="1101"/>
      <c r="C73" s="1101"/>
      <c r="D73" s="1104"/>
      <c r="E73" s="1107"/>
      <c r="F73" s="1110"/>
    </row>
    <row r="74" spans="1:6" ht="12" thickBot="1" x14ac:dyDescent="0.35">
      <c r="A74" s="1099"/>
      <c r="B74" s="1102"/>
      <c r="C74" s="1102"/>
      <c r="D74" s="1105"/>
      <c r="E74" s="1108"/>
      <c r="F74" s="1111"/>
    </row>
    <row r="75" spans="1:6" ht="12" thickBot="1" x14ac:dyDescent="0.35">
      <c r="A75" s="713">
        <v>1</v>
      </c>
      <c r="B75" s="714">
        <v>2</v>
      </c>
      <c r="C75" s="718">
        <v>3</v>
      </c>
      <c r="D75" s="718">
        <v>4</v>
      </c>
      <c r="E75" s="718">
        <v>5</v>
      </c>
      <c r="F75" s="719">
        <v>6</v>
      </c>
    </row>
    <row r="76" spans="1:6" x14ac:dyDescent="0.3">
      <c r="A76" s="411" t="s">
        <v>67</v>
      </c>
      <c r="B76" s="409" t="s">
        <v>51</v>
      </c>
      <c r="C76" s="702"/>
      <c r="D76" s="702">
        <v>2</v>
      </c>
      <c r="E76" s="702"/>
      <c r="F76" s="702"/>
    </row>
    <row r="77" spans="1:6" x14ac:dyDescent="0.3">
      <c r="A77" s="411" t="s">
        <v>68</v>
      </c>
      <c r="B77" s="409" t="s">
        <v>51</v>
      </c>
      <c r="C77" s="702"/>
      <c r="D77" s="702">
        <v>4</v>
      </c>
      <c r="E77" s="702"/>
      <c r="F77" s="702"/>
    </row>
    <row r="78" spans="1:6" x14ac:dyDescent="0.3">
      <c r="A78" s="411" t="s">
        <v>33</v>
      </c>
      <c r="B78" s="409" t="s">
        <v>51</v>
      </c>
      <c r="C78" s="702"/>
      <c r="D78" s="702">
        <v>1</v>
      </c>
      <c r="E78" s="702"/>
      <c r="F78" s="702"/>
    </row>
    <row r="79" spans="1:6" x14ac:dyDescent="0.3">
      <c r="A79" s="411" t="s">
        <v>29</v>
      </c>
      <c r="B79" s="409" t="s">
        <v>51</v>
      </c>
      <c r="C79" s="702"/>
      <c r="D79" s="702">
        <v>1</v>
      </c>
      <c r="E79" s="702"/>
      <c r="F79" s="702"/>
    </row>
    <row r="80" spans="1:6" x14ac:dyDescent="0.3">
      <c r="A80" s="1112" t="s">
        <v>884</v>
      </c>
      <c r="B80" s="1112"/>
      <c r="C80" s="1112"/>
      <c r="D80" s="702">
        <f>SUM(D76:D79)</f>
        <v>8</v>
      </c>
      <c r="E80" s="702"/>
      <c r="F80" s="702"/>
    </row>
    <row r="81" spans="1:6" x14ac:dyDescent="0.3">
      <c r="A81" s="1112" t="s">
        <v>63</v>
      </c>
      <c r="B81" s="1112"/>
      <c r="C81" s="704">
        <v>1.18</v>
      </c>
      <c r="D81" s="710">
        <f>D80*1.18</f>
        <v>9.44</v>
      </c>
      <c r="E81" s="702"/>
      <c r="F81" s="702"/>
    </row>
    <row r="83" spans="1:6" ht="28.5" customHeight="1" x14ac:dyDescent="0.35">
      <c r="A83" s="1130" t="s">
        <v>961</v>
      </c>
      <c r="B83" s="1130"/>
      <c r="C83" s="1130"/>
      <c r="D83" s="720">
        <f>D48+D67+D81</f>
        <v>63.203559137359989</v>
      </c>
      <c r="E83" s="721"/>
      <c r="F83" s="720"/>
    </row>
    <row r="84" spans="1:6" x14ac:dyDescent="0.3">
      <c r="A84" s="722"/>
      <c r="B84" s="722"/>
      <c r="C84" s="722"/>
      <c r="D84" s="723"/>
    </row>
    <row r="85" spans="1:6" ht="34.5" customHeight="1" x14ac:dyDescent="0.45">
      <c r="A85" s="1137" t="s">
        <v>1337</v>
      </c>
      <c r="B85" s="1137"/>
      <c r="C85" s="1137"/>
      <c r="D85" s="1137"/>
      <c r="E85" s="1137"/>
      <c r="F85" s="1137"/>
    </row>
    <row r="87" spans="1:6" ht="26" customHeight="1" x14ac:dyDescent="0.3">
      <c r="A87" s="1131" t="s">
        <v>962</v>
      </c>
      <c r="B87" s="1132"/>
      <c r="C87" s="1132"/>
      <c r="D87" s="1132"/>
      <c r="E87" s="1133"/>
    </row>
    <row r="88" spans="1:6" ht="10.5" customHeight="1" x14ac:dyDescent="0.3">
      <c r="A88" s="1134" t="s">
        <v>70</v>
      </c>
      <c r="B88" s="1135"/>
      <c r="C88" s="1135"/>
      <c r="D88" s="1135"/>
      <c r="E88" s="1136"/>
    </row>
    <row r="89" spans="1:6" x14ac:dyDescent="0.3">
      <c r="A89" s="1129" t="s">
        <v>1103</v>
      </c>
      <c r="B89" s="1129"/>
      <c r="C89" s="1129"/>
      <c r="D89" s="1129"/>
      <c r="E89" s="1129"/>
    </row>
    <row r="90" spans="1:6" x14ac:dyDescent="0.3">
      <c r="A90" s="1129"/>
      <c r="B90" s="1129"/>
      <c r="C90" s="1129"/>
      <c r="D90" s="1129"/>
      <c r="E90" s="1129"/>
    </row>
    <row r="91" spans="1:6" x14ac:dyDescent="0.3">
      <c r="A91" s="1129"/>
      <c r="B91" s="1129"/>
      <c r="C91" s="1129"/>
      <c r="D91" s="1129"/>
      <c r="E91" s="1129"/>
    </row>
    <row r="92" spans="1:6" ht="158" customHeight="1" x14ac:dyDescent="0.3">
      <c r="A92" s="1129"/>
      <c r="B92" s="1129"/>
      <c r="C92" s="1129"/>
      <c r="D92" s="1129"/>
      <c r="E92" s="1129"/>
    </row>
    <row r="94" spans="1:6" ht="15.5" x14ac:dyDescent="0.35">
      <c r="A94" s="721" t="s">
        <v>1014</v>
      </c>
      <c r="C94" s="721" t="s">
        <v>963</v>
      </c>
    </row>
  </sheetData>
  <mergeCells count="44">
    <mergeCell ref="A89:E92"/>
    <mergeCell ref="A80:C80"/>
    <mergeCell ref="A81:B81"/>
    <mergeCell ref="A83:C83"/>
    <mergeCell ref="A87:E87"/>
    <mergeCell ref="A88:E88"/>
    <mergeCell ref="A85:F85"/>
    <mergeCell ref="A66:C66"/>
    <mergeCell ref="A67:B67"/>
    <mergeCell ref="A69:F69"/>
    <mergeCell ref="A70:F70"/>
    <mergeCell ref="A72:A74"/>
    <mergeCell ref="B72:B74"/>
    <mergeCell ref="C72:C74"/>
    <mergeCell ref="D72:D74"/>
    <mergeCell ref="E72:E74"/>
    <mergeCell ref="F72:F74"/>
    <mergeCell ref="A51:F51"/>
    <mergeCell ref="A52:F53"/>
    <mergeCell ref="A55:A57"/>
    <mergeCell ref="B55:B57"/>
    <mergeCell ref="C55:C57"/>
    <mergeCell ref="D55:D57"/>
    <mergeCell ref="E55:E57"/>
    <mergeCell ref="F55:F57"/>
    <mergeCell ref="A48:B48"/>
    <mergeCell ref="E9:E23"/>
    <mergeCell ref="A13:B13"/>
    <mergeCell ref="E24:E25"/>
    <mergeCell ref="E27:E31"/>
    <mergeCell ref="A32:E34"/>
    <mergeCell ref="E36:E38"/>
    <mergeCell ref="E39:E41"/>
    <mergeCell ref="E43:E44"/>
    <mergeCell ref="A46:C46"/>
    <mergeCell ref="A47:B47"/>
    <mergeCell ref="A1:F1"/>
    <mergeCell ref="A2:F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6"/>
  <sheetViews>
    <sheetView topLeftCell="A41" workbookViewId="0">
      <selection sqref="A1:J58"/>
    </sheetView>
  </sheetViews>
  <sheetFormatPr defaultRowHeight="14.5" x14ac:dyDescent="0.35"/>
  <cols>
    <col min="1" max="1" width="4.1796875" customWidth="1"/>
    <col min="2" max="2" width="18.7265625" customWidth="1"/>
    <col min="3" max="3" width="15.81640625" customWidth="1"/>
    <col min="4" max="4" width="13.54296875" customWidth="1"/>
    <col min="5" max="5" width="16.1796875" customWidth="1"/>
    <col min="6" max="6" width="13.453125" customWidth="1"/>
    <col min="7" max="7" width="14.81640625" customWidth="1"/>
  </cols>
  <sheetData>
    <row r="4" spans="2:5" ht="15.5" x14ac:dyDescent="0.35">
      <c r="B4" s="451" t="s">
        <v>1222</v>
      </c>
      <c r="C4" s="451"/>
      <c r="D4" s="451"/>
    </row>
    <row r="5" spans="2:5" ht="17" customHeight="1" x14ac:dyDescent="0.35"/>
    <row r="6" spans="2:5" x14ac:dyDescent="0.35">
      <c r="B6" s="1471" t="s">
        <v>876</v>
      </c>
      <c r="C6" s="1471"/>
      <c r="D6" s="1471"/>
      <c r="E6" s="1471"/>
    </row>
    <row r="7" spans="2:5" x14ac:dyDescent="0.35">
      <c r="B7" s="1471" t="s">
        <v>1223</v>
      </c>
      <c r="C7" s="1471"/>
      <c r="D7" s="1471"/>
      <c r="E7" s="1471"/>
    </row>
    <row r="8" spans="2:5" x14ac:dyDescent="0.35">
      <c r="B8" s="1471" t="s">
        <v>1224</v>
      </c>
      <c r="C8" s="1471"/>
      <c r="D8" s="1471"/>
      <c r="E8" s="1471"/>
    </row>
    <row r="9" spans="2:5" x14ac:dyDescent="0.35">
      <c r="E9" t="s">
        <v>1272</v>
      </c>
    </row>
    <row r="10" spans="2:5" ht="49.5" customHeight="1" x14ac:dyDescent="0.35">
      <c r="B10" s="38" t="s">
        <v>856</v>
      </c>
      <c r="C10" s="249" t="s">
        <v>857</v>
      </c>
      <c r="D10" s="249" t="s">
        <v>858</v>
      </c>
      <c r="E10" s="249" t="s">
        <v>859</v>
      </c>
    </row>
    <row r="12" spans="2:5" x14ac:dyDescent="0.35">
      <c r="B12" s="38" t="s">
        <v>860</v>
      </c>
      <c r="C12" s="38">
        <v>3.31</v>
      </c>
      <c r="D12" s="38">
        <v>166457.39000000001</v>
      </c>
      <c r="E12" s="250">
        <f>D12*C12</f>
        <v>550973.96090000006</v>
      </c>
    </row>
    <row r="13" spans="2:5" x14ac:dyDescent="0.35">
      <c r="B13" s="38" t="s">
        <v>861</v>
      </c>
      <c r="C13" s="38">
        <v>3.31</v>
      </c>
      <c r="D13" s="38">
        <v>166457.39000000001</v>
      </c>
      <c r="E13" s="250">
        <f t="shared" ref="E13:E23" si="0">D13*C13</f>
        <v>550973.96090000006</v>
      </c>
    </row>
    <row r="14" spans="2:5" x14ac:dyDescent="0.35">
      <c r="B14" s="38" t="s">
        <v>862</v>
      </c>
      <c r="C14" s="38">
        <v>3.31</v>
      </c>
      <c r="D14" s="38">
        <v>166457.39000000001</v>
      </c>
      <c r="E14" s="250">
        <f t="shared" si="0"/>
        <v>550973.96090000006</v>
      </c>
    </row>
    <row r="15" spans="2:5" x14ac:dyDescent="0.35">
      <c r="B15" s="38" t="s">
        <v>863</v>
      </c>
      <c r="C15" s="38">
        <v>3.31</v>
      </c>
      <c r="D15" s="38">
        <v>166457.39000000001</v>
      </c>
      <c r="E15" s="250">
        <f t="shared" si="0"/>
        <v>550973.96090000006</v>
      </c>
    </row>
    <row r="16" spans="2:5" x14ac:dyDescent="0.35">
      <c r="B16" s="38" t="s">
        <v>864</v>
      </c>
      <c r="C16" s="38">
        <v>3.31</v>
      </c>
      <c r="D16" s="38">
        <v>166457.39000000001</v>
      </c>
      <c r="E16" s="250">
        <f t="shared" si="0"/>
        <v>550973.96090000006</v>
      </c>
    </row>
    <row r="17" spans="2:7" x14ac:dyDescent="0.35">
      <c r="B17" s="38" t="s">
        <v>865</v>
      </c>
      <c r="C17" s="38">
        <v>3.31</v>
      </c>
      <c r="D17" s="38">
        <v>166457.39000000001</v>
      </c>
      <c r="E17" s="250">
        <f t="shared" si="0"/>
        <v>550973.96090000006</v>
      </c>
    </row>
    <row r="18" spans="2:7" x14ac:dyDescent="0.35">
      <c r="B18" s="38" t="s">
        <v>866</v>
      </c>
      <c r="C18" s="38">
        <v>3.31</v>
      </c>
      <c r="D18" s="38">
        <v>166457.39000000001</v>
      </c>
      <c r="E18" s="250">
        <f t="shared" si="0"/>
        <v>550973.96090000006</v>
      </c>
    </row>
    <row r="19" spans="2:7" x14ac:dyDescent="0.35">
      <c r="B19" s="38" t="s">
        <v>867</v>
      </c>
      <c r="C19" s="38">
        <v>3.31</v>
      </c>
      <c r="D19" s="38">
        <v>166457.39000000001</v>
      </c>
      <c r="E19" s="250">
        <f t="shared" si="0"/>
        <v>550973.96090000006</v>
      </c>
    </row>
    <row r="20" spans="2:7" x14ac:dyDescent="0.35">
      <c r="B20" s="38" t="s">
        <v>868</v>
      </c>
      <c r="C20" s="38">
        <v>3.31</v>
      </c>
      <c r="D20" s="38">
        <v>166457.39000000001</v>
      </c>
      <c r="E20" s="250">
        <f t="shared" si="0"/>
        <v>550973.96090000006</v>
      </c>
    </row>
    <row r="21" spans="2:7" x14ac:dyDescent="0.35">
      <c r="B21" s="38" t="s">
        <v>869</v>
      </c>
      <c r="C21" s="38">
        <v>3.31</v>
      </c>
      <c r="D21" s="38">
        <v>166457.39000000001</v>
      </c>
      <c r="E21" s="250">
        <f t="shared" si="0"/>
        <v>550973.96090000006</v>
      </c>
    </row>
    <row r="22" spans="2:7" x14ac:dyDescent="0.35">
      <c r="B22" s="38" t="s">
        <v>870</v>
      </c>
      <c r="C22" s="38">
        <v>3.31</v>
      </c>
      <c r="D22" s="38">
        <v>166457.39000000001</v>
      </c>
      <c r="E22" s="250">
        <f t="shared" si="0"/>
        <v>550973.96090000006</v>
      </c>
    </row>
    <row r="23" spans="2:7" x14ac:dyDescent="0.35">
      <c r="B23" s="38" t="s">
        <v>871</v>
      </c>
      <c r="C23" s="38">
        <v>3.31</v>
      </c>
      <c r="D23" s="38">
        <v>166457.39000000001</v>
      </c>
      <c r="E23" s="250">
        <f t="shared" si="0"/>
        <v>550973.96090000006</v>
      </c>
    </row>
    <row r="24" spans="2:7" x14ac:dyDescent="0.35">
      <c r="B24" s="528" t="s">
        <v>872</v>
      </c>
      <c r="C24" s="528" t="s">
        <v>1272</v>
      </c>
      <c r="D24" s="528"/>
      <c r="E24" s="251">
        <f>SUM(E12:E23)</f>
        <v>6611687.5308000026</v>
      </c>
    </row>
    <row r="25" spans="2:7" x14ac:dyDescent="0.35">
      <c r="B25" s="528"/>
      <c r="C25" s="528" t="s">
        <v>1309</v>
      </c>
      <c r="D25" s="528"/>
      <c r="E25" s="251">
        <f>E24*1.05</f>
        <v>6942271.9073400032</v>
      </c>
    </row>
    <row r="26" spans="2:7" x14ac:dyDescent="0.35">
      <c r="B26" s="528"/>
      <c r="C26" s="528" t="s">
        <v>1310</v>
      </c>
      <c r="D26" s="528"/>
      <c r="E26" s="251">
        <f t="shared" ref="E26:E28" si="1">E25*1.05</f>
        <v>7289385.5027070036</v>
      </c>
    </row>
    <row r="27" spans="2:7" x14ac:dyDescent="0.35">
      <c r="B27" s="528"/>
      <c r="C27" s="749" t="s">
        <v>1370</v>
      </c>
      <c r="D27" s="528"/>
      <c r="E27" s="251">
        <f t="shared" si="1"/>
        <v>7653854.777842354</v>
      </c>
    </row>
    <row r="28" spans="2:7" x14ac:dyDescent="0.35">
      <c r="B28" s="528"/>
      <c r="C28" s="749" t="s">
        <v>1312</v>
      </c>
      <c r="D28" s="528"/>
      <c r="E28" s="251">
        <f t="shared" si="1"/>
        <v>8036547.5167344725</v>
      </c>
    </row>
    <row r="29" spans="2:7" x14ac:dyDescent="0.35">
      <c r="B29" s="439"/>
      <c r="C29" s="439"/>
      <c r="D29" s="439"/>
      <c r="E29" s="251"/>
      <c r="G29" s="251"/>
    </row>
    <row r="30" spans="2:7" x14ac:dyDescent="0.35">
      <c r="B30" s="41" t="s">
        <v>885</v>
      </c>
    </row>
    <row r="37" spans="2:7" x14ac:dyDescent="0.35">
      <c r="B37" s="80" t="s">
        <v>1225</v>
      </c>
    </row>
    <row r="38" spans="2:7" x14ac:dyDescent="0.35">
      <c r="B38" t="s">
        <v>1363</v>
      </c>
    </row>
    <row r="40" spans="2:7" ht="90" customHeight="1" x14ac:dyDescent="0.35">
      <c r="B40" s="38" t="s">
        <v>856</v>
      </c>
      <c r="C40" s="249" t="s">
        <v>888</v>
      </c>
      <c r="D40" s="249" t="s">
        <v>873</v>
      </c>
      <c r="E40" s="249" t="s">
        <v>874</v>
      </c>
      <c r="F40" s="249" t="s">
        <v>1364</v>
      </c>
      <c r="G40" s="249" t="s">
        <v>875</v>
      </c>
    </row>
    <row r="41" spans="2:7" x14ac:dyDescent="0.35">
      <c r="B41" s="38" t="s">
        <v>1272</v>
      </c>
      <c r="C41">
        <v>17318.330000000002</v>
      </c>
      <c r="D41" s="38">
        <v>7.92</v>
      </c>
      <c r="E41" s="250">
        <f>C41*D41%</f>
        <v>1371.6117360000001</v>
      </c>
      <c r="F41" s="38">
        <v>1570.37</v>
      </c>
      <c r="G41" s="250">
        <f>E41*F41</f>
        <v>2153937.92186232</v>
      </c>
    </row>
    <row r="42" spans="2:7" x14ac:dyDescent="0.35">
      <c r="B42" s="748" t="s">
        <v>1309</v>
      </c>
      <c r="C42" s="38">
        <v>17664.687999999998</v>
      </c>
      <c r="D42" s="38">
        <v>7.92</v>
      </c>
      <c r="E42" s="250">
        <f>C42*D42%</f>
        <v>1399.0432895999998</v>
      </c>
      <c r="F42" s="38">
        <v>1570.37</v>
      </c>
      <c r="G42" s="250">
        <f>E42*F42</f>
        <v>2197015.6106891516</v>
      </c>
    </row>
    <row r="43" spans="2:7" x14ac:dyDescent="0.35">
      <c r="B43" s="38" t="s">
        <v>1365</v>
      </c>
      <c r="C43" s="38">
        <v>18017.98</v>
      </c>
      <c r="D43" s="38">
        <v>7.92</v>
      </c>
      <c r="E43" s="250">
        <f>C43*D43%</f>
        <v>1427.0240159999998</v>
      </c>
      <c r="F43" s="38">
        <v>1570.37</v>
      </c>
      <c r="G43" s="250">
        <f>E43*F43</f>
        <v>2240955.7040059194</v>
      </c>
    </row>
    <row r="44" spans="2:7" x14ac:dyDescent="0.35">
      <c r="B44" s="38" t="s">
        <v>1311</v>
      </c>
      <c r="C44" s="38">
        <v>18378.34</v>
      </c>
      <c r="D44" s="38">
        <v>7.92</v>
      </c>
      <c r="E44" s="250">
        <f>C44*D44%</f>
        <v>1455.5645279999999</v>
      </c>
      <c r="F44" s="38">
        <v>1570.37</v>
      </c>
      <c r="G44" s="250">
        <f>E44*F44</f>
        <v>2285774.8678353596</v>
      </c>
    </row>
    <row r="45" spans="2:7" x14ac:dyDescent="0.35">
      <c r="B45" s="38" t="s">
        <v>1312</v>
      </c>
      <c r="C45" s="38">
        <v>18745.91</v>
      </c>
      <c r="D45" s="38">
        <v>7.92</v>
      </c>
      <c r="E45" s="250">
        <f>C45*D45%</f>
        <v>1484.6760719999997</v>
      </c>
      <c r="F45" s="38">
        <v>1570.37</v>
      </c>
      <c r="G45" s="250">
        <f>E45*F45</f>
        <v>2331490.7631866396</v>
      </c>
    </row>
    <row r="46" spans="2:7" x14ac:dyDescent="0.35">
      <c r="B46" s="38"/>
      <c r="C46" s="38"/>
      <c r="D46" s="38"/>
      <c r="E46" s="250"/>
      <c r="F46" s="38"/>
      <c r="G46" s="250"/>
    </row>
    <row r="47" spans="2:7" x14ac:dyDescent="0.35">
      <c r="B47" s="41"/>
    </row>
    <row r="48" spans="2:7" x14ac:dyDescent="0.35">
      <c r="B48" s="80" t="s">
        <v>1362</v>
      </c>
      <c r="C48" s="80"/>
      <c r="E48" s="251">
        <f>E24+G41</f>
        <v>8765625.4526623227</v>
      </c>
    </row>
    <row r="49" spans="2:5" x14ac:dyDescent="0.35">
      <c r="B49" s="80" t="s">
        <v>1366</v>
      </c>
      <c r="C49" s="80"/>
      <c r="E49" s="251">
        <f>E24+G42</f>
        <v>8808703.1414891537</v>
      </c>
    </row>
    <row r="50" spans="2:5" x14ac:dyDescent="0.35">
      <c r="B50" s="80" t="s">
        <v>1367</v>
      </c>
      <c r="C50" s="80"/>
      <c r="E50" s="251">
        <f t="shared" ref="E50:E52" si="2">E25+G43</f>
        <v>9183227.6113459226</v>
      </c>
    </row>
    <row r="51" spans="2:5" x14ac:dyDescent="0.35">
      <c r="B51" s="80" t="s">
        <v>1368</v>
      </c>
      <c r="C51" s="80"/>
      <c r="E51" s="251">
        <f t="shared" si="2"/>
        <v>9575160.3705423623</v>
      </c>
    </row>
    <row r="52" spans="2:5" x14ac:dyDescent="0.35">
      <c r="B52" s="80" t="s">
        <v>1369</v>
      </c>
      <c r="C52" s="80"/>
      <c r="E52" s="251">
        <f t="shared" si="2"/>
        <v>9985345.5410289932</v>
      </c>
    </row>
    <row r="53" spans="2:5" x14ac:dyDescent="0.35">
      <c r="B53" s="80"/>
      <c r="C53" s="80"/>
      <c r="E53" s="251"/>
    </row>
    <row r="54" spans="2:5" x14ac:dyDescent="0.35">
      <c r="B54" s="80"/>
      <c r="C54" s="80"/>
      <c r="E54" s="251"/>
    </row>
    <row r="55" spans="2:5" x14ac:dyDescent="0.35">
      <c r="B55" s="41" t="s">
        <v>885</v>
      </c>
    </row>
    <row r="56" spans="2:5" x14ac:dyDescent="0.35">
      <c r="B56" s="41"/>
    </row>
  </sheetData>
  <mergeCells count="3">
    <mergeCell ref="B6:E6"/>
    <mergeCell ref="B7:E7"/>
    <mergeCell ref="B8:E8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6" workbookViewId="0">
      <pane xSplit="2" ySplit="3" topLeftCell="E9" activePane="bottomRight" state="frozen"/>
      <selection activeCell="A6" sqref="A6"/>
      <selection pane="topRight" activeCell="C6" sqref="C6"/>
      <selection pane="bottomLeft" activeCell="A9" sqref="A9"/>
      <selection pane="bottomRight" activeCell="B47" sqref="B47"/>
    </sheetView>
  </sheetViews>
  <sheetFormatPr defaultColWidth="9.1796875" defaultRowHeight="13" x14ac:dyDescent="0.3"/>
  <cols>
    <col min="1" max="1" width="10.6328125" style="44" customWidth="1"/>
    <col min="2" max="2" width="41.6328125" style="44" customWidth="1"/>
    <col min="3" max="3" width="7.26953125" style="44" customWidth="1"/>
    <col min="4" max="4" width="7.36328125" style="44" customWidth="1"/>
    <col min="5" max="5" width="8.6328125" style="44" customWidth="1"/>
    <col min="6" max="6" width="9.6328125" style="44" customWidth="1"/>
    <col min="7" max="13" width="9.1796875" style="44"/>
    <col min="14" max="14" width="8.1796875" style="44" customWidth="1"/>
    <col min="15" max="245" width="9.1796875" style="44"/>
    <col min="246" max="246" width="6.453125" style="44" customWidth="1"/>
    <col min="247" max="247" width="47.81640625" style="44" customWidth="1"/>
    <col min="248" max="248" width="12.7265625" style="44" customWidth="1"/>
    <col min="249" max="249" width="14.453125" style="44" customWidth="1"/>
    <col min="250" max="250" width="12.1796875" style="44" customWidth="1"/>
    <col min="251" max="252" width="11.81640625" style="44" customWidth="1"/>
    <col min="253" max="501" width="9.1796875" style="44"/>
    <col min="502" max="502" width="6.453125" style="44" customWidth="1"/>
    <col min="503" max="503" width="47.81640625" style="44" customWidth="1"/>
    <col min="504" max="504" width="12.7265625" style="44" customWidth="1"/>
    <col min="505" max="505" width="14.453125" style="44" customWidth="1"/>
    <col min="506" max="506" width="12.1796875" style="44" customWidth="1"/>
    <col min="507" max="508" width="11.81640625" style="44" customWidth="1"/>
    <col min="509" max="757" width="9.1796875" style="44"/>
    <col min="758" max="758" width="6.453125" style="44" customWidth="1"/>
    <col min="759" max="759" width="47.81640625" style="44" customWidth="1"/>
    <col min="760" max="760" width="12.7265625" style="44" customWidth="1"/>
    <col min="761" max="761" width="14.453125" style="44" customWidth="1"/>
    <col min="762" max="762" width="12.1796875" style="44" customWidth="1"/>
    <col min="763" max="764" width="11.81640625" style="44" customWidth="1"/>
    <col min="765" max="1013" width="9.1796875" style="44"/>
    <col min="1014" max="1014" width="6.453125" style="44" customWidth="1"/>
    <col min="1015" max="1015" width="47.81640625" style="44" customWidth="1"/>
    <col min="1016" max="1016" width="12.7265625" style="44" customWidth="1"/>
    <col min="1017" max="1017" width="14.453125" style="44" customWidth="1"/>
    <col min="1018" max="1018" width="12.1796875" style="44" customWidth="1"/>
    <col min="1019" max="1020" width="11.81640625" style="44" customWidth="1"/>
    <col min="1021" max="1269" width="9.1796875" style="44"/>
    <col min="1270" max="1270" width="6.453125" style="44" customWidth="1"/>
    <col min="1271" max="1271" width="47.81640625" style="44" customWidth="1"/>
    <col min="1272" max="1272" width="12.7265625" style="44" customWidth="1"/>
    <col min="1273" max="1273" width="14.453125" style="44" customWidth="1"/>
    <col min="1274" max="1274" width="12.1796875" style="44" customWidth="1"/>
    <col min="1275" max="1276" width="11.81640625" style="44" customWidth="1"/>
    <col min="1277" max="1525" width="9.1796875" style="44"/>
    <col min="1526" max="1526" width="6.453125" style="44" customWidth="1"/>
    <col min="1527" max="1527" width="47.81640625" style="44" customWidth="1"/>
    <col min="1528" max="1528" width="12.7265625" style="44" customWidth="1"/>
    <col min="1529" max="1529" width="14.453125" style="44" customWidth="1"/>
    <col min="1530" max="1530" width="12.1796875" style="44" customWidth="1"/>
    <col min="1531" max="1532" width="11.81640625" style="44" customWidth="1"/>
    <col min="1533" max="1781" width="9.1796875" style="44"/>
    <col min="1782" max="1782" width="6.453125" style="44" customWidth="1"/>
    <col min="1783" max="1783" width="47.81640625" style="44" customWidth="1"/>
    <col min="1784" max="1784" width="12.7265625" style="44" customWidth="1"/>
    <col min="1785" max="1785" width="14.453125" style="44" customWidth="1"/>
    <col min="1786" max="1786" width="12.1796875" style="44" customWidth="1"/>
    <col min="1787" max="1788" width="11.81640625" style="44" customWidth="1"/>
    <col min="1789" max="2037" width="9.1796875" style="44"/>
    <col min="2038" max="2038" width="6.453125" style="44" customWidth="1"/>
    <col min="2039" max="2039" width="47.81640625" style="44" customWidth="1"/>
    <col min="2040" max="2040" width="12.7265625" style="44" customWidth="1"/>
    <col min="2041" max="2041" width="14.453125" style="44" customWidth="1"/>
    <col min="2042" max="2042" width="12.1796875" style="44" customWidth="1"/>
    <col min="2043" max="2044" width="11.81640625" style="44" customWidth="1"/>
    <col min="2045" max="2293" width="9.1796875" style="44"/>
    <col min="2294" max="2294" width="6.453125" style="44" customWidth="1"/>
    <col min="2295" max="2295" width="47.81640625" style="44" customWidth="1"/>
    <col min="2296" max="2296" width="12.7265625" style="44" customWidth="1"/>
    <col min="2297" max="2297" width="14.453125" style="44" customWidth="1"/>
    <col min="2298" max="2298" width="12.1796875" style="44" customWidth="1"/>
    <col min="2299" max="2300" width="11.81640625" style="44" customWidth="1"/>
    <col min="2301" max="2549" width="9.1796875" style="44"/>
    <col min="2550" max="2550" width="6.453125" style="44" customWidth="1"/>
    <col min="2551" max="2551" width="47.81640625" style="44" customWidth="1"/>
    <col min="2552" max="2552" width="12.7265625" style="44" customWidth="1"/>
    <col min="2553" max="2553" width="14.453125" style="44" customWidth="1"/>
    <col min="2554" max="2554" width="12.1796875" style="44" customWidth="1"/>
    <col min="2555" max="2556" width="11.81640625" style="44" customWidth="1"/>
    <col min="2557" max="2805" width="9.1796875" style="44"/>
    <col min="2806" max="2806" width="6.453125" style="44" customWidth="1"/>
    <col min="2807" max="2807" width="47.81640625" style="44" customWidth="1"/>
    <col min="2808" max="2808" width="12.7265625" style="44" customWidth="1"/>
    <col min="2809" max="2809" width="14.453125" style="44" customWidth="1"/>
    <col min="2810" max="2810" width="12.1796875" style="44" customWidth="1"/>
    <col min="2811" max="2812" width="11.81640625" style="44" customWidth="1"/>
    <col min="2813" max="3061" width="9.1796875" style="44"/>
    <col min="3062" max="3062" width="6.453125" style="44" customWidth="1"/>
    <col min="3063" max="3063" width="47.81640625" style="44" customWidth="1"/>
    <col min="3064" max="3064" width="12.7265625" style="44" customWidth="1"/>
    <col min="3065" max="3065" width="14.453125" style="44" customWidth="1"/>
    <col min="3066" max="3066" width="12.1796875" style="44" customWidth="1"/>
    <col min="3067" max="3068" width="11.81640625" style="44" customWidth="1"/>
    <col min="3069" max="3317" width="9.1796875" style="44"/>
    <col min="3318" max="3318" width="6.453125" style="44" customWidth="1"/>
    <col min="3319" max="3319" width="47.81640625" style="44" customWidth="1"/>
    <col min="3320" max="3320" width="12.7265625" style="44" customWidth="1"/>
    <col min="3321" max="3321" width="14.453125" style="44" customWidth="1"/>
    <col min="3322" max="3322" width="12.1796875" style="44" customWidth="1"/>
    <col min="3323" max="3324" width="11.81640625" style="44" customWidth="1"/>
    <col min="3325" max="3573" width="9.1796875" style="44"/>
    <col min="3574" max="3574" width="6.453125" style="44" customWidth="1"/>
    <col min="3575" max="3575" width="47.81640625" style="44" customWidth="1"/>
    <col min="3576" max="3576" width="12.7265625" style="44" customWidth="1"/>
    <col min="3577" max="3577" width="14.453125" style="44" customWidth="1"/>
    <col min="3578" max="3578" width="12.1796875" style="44" customWidth="1"/>
    <col min="3579" max="3580" width="11.81640625" style="44" customWidth="1"/>
    <col min="3581" max="3829" width="9.1796875" style="44"/>
    <col min="3830" max="3830" width="6.453125" style="44" customWidth="1"/>
    <col min="3831" max="3831" width="47.81640625" style="44" customWidth="1"/>
    <col min="3832" max="3832" width="12.7265625" style="44" customWidth="1"/>
    <col min="3833" max="3833" width="14.453125" style="44" customWidth="1"/>
    <col min="3834" max="3834" width="12.1796875" style="44" customWidth="1"/>
    <col min="3835" max="3836" width="11.81640625" style="44" customWidth="1"/>
    <col min="3837" max="4085" width="9.1796875" style="44"/>
    <col min="4086" max="4086" width="6.453125" style="44" customWidth="1"/>
    <col min="4087" max="4087" width="47.81640625" style="44" customWidth="1"/>
    <col min="4088" max="4088" width="12.7265625" style="44" customWidth="1"/>
    <col min="4089" max="4089" width="14.453125" style="44" customWidth="1"/>
    <col min="4090" max="4090" width="12.1796875" style="44" customWidth="1"/>
    <col min="4091" max="4092" width="11.81640625" style="44" customWidth="1"/>
    <col min="4093" max="4341" width="9.1796875" style="44"/>
    <col min="4342" max="4342" width="6.453125" style="44" customWidth="1"/>
    <col min="4343" max="4343" width="47.81640625" style="44" customWidth="1"/>
    <col min="4344" max="4344" width="12.7265625" style="44" customWidth="1"/>
    <col min="4345" max="4345" width="14.453125" style="44" customWidth="1"/>
    <col min="4346" max="4346" width="12.1796875" style="44" customWidth="1"/>
    <col min="4347" max="4348" width="11.81640625" style="44" customWidth="1"/>
    <col min="4349" max="4597" width="9.1796875" style="44"/>
    <col min="4598" max="4598" width="6.453125" style="44" customWidth="1"/>
    <col min="4599" max="4599" width="47.81640625" style="44" customWidth="1"/>
    <col min="4600" max="4600" width="12.7265625" style="44" customWidth="1"/>
    <col min="4601" max="4601" width="14.453125" style="44" customWidth="1"/>
    <col min="4602" max="4602" width="12.1796875" style="44" customWidth="1"/>
    <col min="4603" max="4604" width="11.81640625" style="44" customWidth="1"/>
    <col min="4605" max="4853" width="9.1796875" style="44"/>
    <col min="4854" max="4854" width="6.453125" style="44" customWidth="1"/>
    <col min="4855" max="4855" width="47.81640625" style="44" customWidth="1"/>
    <col min="4856" max="4856" width="12.7265625" style="44" customWidth="1"/>
    <col min="4857" max="4857" width="14.453125" style="44" customWidth="1"/>
    <col min="4858" max="4858" width="12.1796875" style="44" customWidth="1"/>
    <col min="4859" max="4860" width="11.81640625" style="44" customWidth="1"/>
    <col min="4861" max="5109" width="9.1796875" style="44"/>
    <col min="5110" max="5110" width="6.453125" style="44" customWidth="1"/>
    <col min="5111" max="5111" width="47.81640625" style="44" customWidth="1"/>
    <col min="5112" max="5112" width="12.7265625" style="44" customWidth="1"/>
    <col min="5113" max="5113" width="14.453125" style="44" customWidth="1"/>
    <col min="5114" max="5114" width="12.1796875" style="44" customWidth="1"/>
    <col min="5115" max="5116" width="11.81640625" style="44" customWidth="1"/>
    <col min="5117" max="5365" width="9.1796875" style="44"/>
    <col min="5366" max="5366" width="6.453125" style="44" customWidth="1"/>
    <col min="5367" max="5367" width="47.81640625" style="44" customWidth="1"/>
    <col min="5368" max="5368" width="12.7265625" style="44" customWidth="1"/>
    <col min="5369" max="5369" width="14.453125" style="44" customWidth="1"/>
    <col min="5370" max="5370" width="12.1796875" style="44" customWidth="1"/>
    <col min="5371" max="5372" width="11.81640625" style="44" customWidth="1"/>
    <col min="5373" max="5621" width="9.1796875" style="44"/>
    <col min="5622" max="5622" width="6.453125" style="44" customWidth="1"/>
    <col min="5623" max="5623" width="47.81640625" style="44" customWidth="1"/>
    <col min="5624" max="5624" width="12.7265625" style="44" customWidth="1"/>
    <col min="5625" max="5625" width="14.453125" style="44" customWidth="1"/>
    <col min="5626" max="5626" width="12.1796875" style="44" customWidth="1"/>
    <col min="5627" max="5628" width="11.81640625" style="44" customWidth="1"/>
    <col min="5629" max="5877" width="9.1796875" style="44"/>
    <col min="5878" max="5878" width="6.453125" style="44" customWidth="1"/>
    <col min="5879" max="5879" width="47.81640625" style="44" customWidth="1"/>
    <col min="5880" max="5880" width="12.7265625" style="44" customWidth="1"/>
    <col min="5881" max="5881" width="14.453125" style="44" customWidth="1"/>
    <col min="5882" max="5882" width="12.1796875" style="44" customWidth="1"/>
    <col min="5883" max="5884" width="11.81640625" style="44" customWidth="1"/>
    <col min="5885" max="6133" width="9.1796875" style="44"/>
    <col min="6134" max="6134" width="6.453125" style="44" customWidth="1"/>
    <col min="6135" max="6135" width="47.81640625" style="44" customWidth="1"/>
    <col min="6136" max="6136" width="12.7265625" style="44" customWidth="1"/>
    <col min="6137" max="6137" width="14.453125" style="44" customWidth="1"/>
    <col min="6138" max="6138" width="12.1796875" style="44" customWidth="1"/>
    <col min="6139" max="6140" width="11.81640625" style="44" customWidth="1"/>
    <col min="6141" max="6389" width="9.1796875" style="44"/>
    <col min="6390" max="6390" width="6.453125" style="44" customWidth="1"/>
    <col min="6391" max="6391" width="47.81640625" style="44" customWidth="1"/>
    <col min="6392" max="6392" width="12.7265625" style="44" customWidth="1"/>
    <col min="6393" max="6393" width="14.453125" style="44" customWidth="1"/>
    <col min="6394" max="6394" width="12.1796875" style="44" customWidth="1"/>
    <col min="6395" max="6396" width="11.81640625" style="44" customWidth="1"/>
    <col min="6397" max="6645" width="9.1796875" style="44"/>
    <col min="6646" max="6646" width="6.453125" style="44" customWidth="1"/>
    <col min="6647" max="6647" width="47.81640625" style="44" customWidth="1"/>
    <col min="6648" max="6648" width="12.7265625" style="44" customWidth="1"/>
    <col min="6649" max="6649" width="14.453125" style="44" customWidth="1"/>
    <col min="6650" max="6650" width="12.1796875" style="44" customWidth="1"/>
    <col min="6651" max="6652" width="11.81640625" style="44" customWidth="1"/>
    <col min="6653" max="6901" width="9.1796875" style="44"/>
    <col min="6902" max="6902" width="6.453125" style="44" customWidth="1"/>
    <col min="6903" max="6903" width="47.81640625" style="44" customWidth="1"/>
    <col min="6904" max="6904" width="12.7265625" style="44" customWidth="1"/>
    <col min="6905" max="6905" width="14.453125" style="44" customWidth="1"/>
    <col min="6906" max="6906" width="12.1796875" style="44" customWidth="1"/>
    <col min="6907" max="6908" width="11.81640625" style="44" customWidth="1"/>
    <col min="6909" max="7157" width="9.1796875" style="44"/>
    <col min="7158" max="7158" width="6.453125" style="44" customWidth="1"/>
    <col min="7159" max="7159" width="47.81640625" style="44" customWidth="1"/>
    <col min="7160" max="7160" width="12.7265625" style="44" customWidth="1"/>
    <col min="7161" max="7161" width="14.453125" style="44" customWidth="1"/>
    <col min="7162" max="7162" width="12.1796875" style="44" customWidth="1"/>
    <col min="7163" max="7164" width="11.81640625" style="44" customWidth="1"/>
    <col min="7165" max="7413" width="9.1796875" style="44"/>
    <col min="7414" max="7414" width="6.453125" style="44" customWidth="1"/>
    <col min="7415" max="7415" width="47.81640625" style="44" customWidth="1"/>
    <col min="7416" max="7416" width="12.7265625" style="44" customWidth="1"/>
    <col min="7417" max="7417" width="14.453125" style="44" customWidth="1"/>
    <col min="7418" max="7418" width="12.1796875" style="44" customWidth="1"/>
    <col min="7419" max="7420" width="11.81640625" style="44" customWidth="1"/>
    <col min="7421" max="7669" width="9.1796875" style="44"/>
    <col min="7670" max="7670" width="6.453125" style="44" customWidth="1"/>
    <col min="7671" max="7671" width="47.81640625" style="44" customWidth="1"/>
    <col min="7672" max="7672" width="12.7265625" style="44" customWidth="1"/>
    <col min="7673" max="7673" width="14.453125" style="44" customWidth="1"/>
    <col min="7674" max="7674" width="12.1796875" style="44" customWidth="1"/>
    <col min="7675" max="7676" width="11.81640625" style="44" customWidth="1"/>
    <col min="7677" max="7925" width="9.1796875" style="44"/>
    <col min="7926" max="7926" width="6.453125" style="44" customWidth="1"/>
    <col min="7927" max="7927" width="47.81640625" style="44" customWidth="1"/>
    <col min="7928" max="7928" width="12.7265625" style="44" customWidth="1"/>
    <col min="7929" max="7929" width="14.453125" style="44" customWidth="1"/>
    <col min="7930" max="7930" width="12.1796875" style="44" customWidth="1"/>
    <col min="7931" max="7932" width="11.81640625" style="44" customWidth="1"/>
    <col min="7933" max="8181" width="9.1796875" style="44"/>
    <col min="8182" max="8182" width="6.453125" style="44" customWidth="1"/>
    <col min="8183" max="8183" width="47.81640625" style="44" customWidth="1"/>
    <col min="8184" max="8184" width="12.7265625" style="44" customWidth="1"/>
    <col min="8185" max="8185" width="14.453125" style="44" customWidth="1"/>
    <col min="8186" max="8186" width="12.1796875" style="44" customWidth="1"/>
    <col min="8187" max="8188" width="11.81640625" style="44" customWidth="1"/>
    <col min="8189" max="8437" width="9.1796875" style="44"/>
    <col min="8438" max="8438" width="6.453125" style="44" customWidth="1"/>
    <col min="8439" max="8439" width="47.81640625" style="44" customWidth="1"/>
    <col min="8440" max="8440" width="12.7265625" style="44" customWidth="1"/>
    <col min="8441" max="8441" width="14.453125" style="44" customWidth="1"/>
    <col min="8442" max="8442" width="12.1796875" style="44" customWidth="1"/>
    <col min="8443" max="8444" width="11.81640625" style="44" customWidth="1"/>
    <col min="8445" max="8693" width="9.1796875" style="44"/>
    <col min="8694" max="8694" width="6.453125" style="44" customWidth="1"/>
    <col min="8695" max="8695" width="47.81640625" style="44" customWidth="1"/>
    <col min="8696" max="8696" width="12.7265625" style="44" customWidth="1"/>
    <col min="8697" max="8697" width="14.453125" style="44" customWidth="1"/>
    <col min="8698" max="8698" width="12.1796875" style="44" customWidth="1"/>
    <col min="8699" max="8700" width="11.81640625" style="44" customWidth="1"/>
    <col min="8701" max="8949" width="9.1796875" style="44"/>
    <col min="8950" max="8950" width="6.453125" style="44" customWidth="1"/>
    <col min="8951" max="8951" width="47.81640625" style="44" customWidth="1"/>
    <col min="8952" max="8952" width="12.7265625" style="44" customWidth="1"/>
    <col min="8953" max="8953" width="14.453125" style="44" customWidth="1"/>
    <col min="8954" max="8954" width="12.1796875" style="44" customWidth="1"/>
    <col min="8955" max="8956" width="11.81640625" style="44" customWidth="1"/>
    <col min="8957" max="9205" width="9.1796875" style="44"/>
    <col min="9206" max="9206" width="6.453125" style="44" customWidth="1"/>
    <col min="9207" max="9207" width="47.81640625" style="44" customWidth="1"/>
    <col min="9208" max="9208" width="12.7265625" style="44" customWidth="1"/>
    <col min="9209" max="9209" width="14.453125" style="44" customWidth="1"/>
    <col min="9210" max="9210" width="12.1796875" style="44" customWidth="1"/>
    <col min="9211" max="9212" width="11.81640625" style="44" customWidth="1"/>
    <col min="9213" max="9461" width="9.1796875" style="44"/>
    <col min="9462" max="9462" width="6.453125" style="44" customWidth="1"/>
    <col min="9463" max="9463" width="47.81640625" style="44" customWidth="1"/>
    <col min="9464" max="9464" width="12.7265625" style="44" customWidth="1"/>
    <col min="9465" max="9465" width="14.453125" style="44" customWidth="1"/>
    <col min="9466" max="9466" width="12.1796875" style="44" customWidth="1"/>
    <col min="9467" max="9468" width="11.81640625" style="44" customWidth="1"/>
    <col min="9469" max="9717" width="9.1796875" style="44"/>
    <col min="9718" max="9718" width="6.453125" style="44" customWidth="1"/>
    <col min="9719" max="9719" width="47.81640625" style="44" customWidth="1"/>
    <col min="9720" max="9720" width="12.7265625" style="44" customWidth="1"/>
    <col min="9721" max="9721" width="14.453125" style="44" customWidth="1"/>
    <col min="9722" max="9722" width="12.1796875" style="44" customWidth="1"/>
    <col min="9723" max="9724" width="11.81640625" style="44" customWidth="1"/>
    <col min="9725" max="9973" width="9.1796875" style="44"/>
    <col min="9974" max="9974" width="6.453125" style="44" customWidth="1"/>
    <col min="9975" max="9975" width="47.81640625" style="44" customWidth="1"/>
    <col min="9976" max="9976" width="12.7265625" style="44" customWidth="1"/>
    <col min="9977" max="9977" width="14.453125" style="44" customWidth="1"/>
    <col min="9978" max="9978" width="12.1796875" style="44" customWidth="1"/>
    <col min="9979" max="9980" width="11.81640625" style="44" customWidth="1"/>
    <col min="9981" max="10229" width="9.1796875" style="44"/>
    <col min="10230" max="10230" width="6.453125" style="44" customWidth="1"/>
    <col min="10231" max="10231" width="47.81640625" style="44" customWidth="1"/>
    <col min="10232" max="10232" width="12.7265625" style="44" customWidth="1"/>
    <col min="10233" max="10233" width="14.453125" style="44" customWidth="1"/>
    <col min="10234" max="10234" width="12.1796875" style="44" customWidth="1"/>
    <col min="10235" max="10236" width="11.81640625" style="44" customWidth="1"/>
    <col min="10237" max="10485" width="9.1796875" style="44"/>
    <col min="10486" max="10486" width="6.453125" style="44" customWidth="1"/>
    <col min="10487" max="10487" width="47.81640625" style="44" customWidth="1"/>
    <col min="10488" max="10488" width="12.7265625" style="44" customWidth="1"/>
    <col min="10489" max="10489" width="14.453125" style="44" customWidth="1"/>
    <col min="10490" max="10490" width="12.1796875" style="44" customWidth="1"/>
    <col min="10491" max="10492" width="11.81640625" style="44" customWidth="1"/>
    <col min="10493" max="10741" width="9.1796875" style="44"/>
    <col min="10742" max="10742" width="6.453125" style="44" customWidth="1"/>
    <col min="10743" max="10743" width="47.81640625" style="44" customWidth="1"/>
    <col min="10744" max="10744" width="12.7265625" style="44" customWidth="1"/>
    <col min="10745" max="10745" width="14.453125" style="44" customWidth="1"/>
    <col min="10746" max="10746" width="12.1796875" style="44" customWidth="1"/>
    <col min="10747" max="10748" width="11.81640625" style="44" customWidth="1"/>
    <col min="10749" max="10997" width="9.1796875" style="44"/>
    <col min="10998" max="10998" width="6.453125" style="44" customWidth="1"/>
    <col min="10999" max="10999" width="47.81640625" style="44" customWidth="1"/>
    <col min="11000" max="11000" width="12.7265625" style="44" customWidth="1"/>
    <col min="11001" max="11001" width="14.453125" style="44" customWidth="1"/>
    <col min="11002" max="11002" width="12.1796875" style="44" customWidth="1"/>
    <col min="11003" max="11004" width="11.81640625" style="44" customWidth="1"/>
    <col min="11005" max="11253" width="9.1796875" style="44"/>
    <col min="11254" max="11254" width="6.453125" style="44" customWidth="1"/>
    <col min="11255" max="11255" width="47.81640625" style="44" customWidth="1"/>
    <col min="11256" max="11256" width="12.7265625" style="44" customWidth="1"/>
    <col min="11257" max="11257" width="14.453125" style="44" customWidth="1"/>
    <col min="11258" max="11258" width="12.1796875" style="44" customWidth="1"/>
    <col min="11259" max="11260" width="11.81640625" style="44" customWidth="1"/>
    <col min="11261" max="11509" width="9.1796875" style="44"/>
    <col min="11510" max="11510" width="6.453125" style="44" customWidth="1"/>
    <col min="11511" max="11511" width="47.81640625" style="44" customWidth="1"/>
    <col min="11512" max="11512" width="12.7265625" style="44" customWidth="1"/>
    <col min="11513" max="11513" width="14.453125" style="44" customWidth="1"/>
    <col min="11514" max="11514" width="12.1796875" style="44" customWidth="1"/>
    <col min="11515" max="11516" width="11.81640625" style="44" customWidth="1"/>
    <col min="11517" max="11765" width="9.1796875" style="44"/>
    <col min="11766" max="11766" width="6.453125" style="44" customWidth="1"/>
    <col min="11767" max="11767" width="47.81640625" style="44" customWidth="1"/>
    <col min="11768" max="11768" width="12.7265625" style="44" customWidth="1"/>
    <col min="11769" max="11769" width="14.453125" style="44" customWidth="1"/>
    <col min="11770" max="11770" width="12.1796875" style="44" customWidth="1"/>
    <col min="11771" max="11772" width="11.81640625" style="44" customWidth="1"/>
    <col min="11773" max="12021" width="9.1796875" style="44"/>
    <col min="12022" max="12022" width="6.453125" style="44" customWidth="1"/>
    <col min="12023" max="12023" width="47.81640625" style="44" customWidth="1"/>
    <col min="12024" max="12024" width="12.7265625" style="44" customWidth="1"/>
    <col min="12025" max="12025" width="14.453125" style="44" customWidth="1"/>
    <col min="12026" max="12026" width="12.1796875" style="44" customWidth="1"/>
    <col min="12027" max="12028" width="11.81640625" style="44" customWidth="1"/>
    <col min="12029" max="12277" width="9.1796875" style="44"/>
    <col min="12278" max="12278" width="6.453125" style="44" customWidth="1"/>
    <col min="12279" max="12279" width="47.81640625" style="44" customWidth="1"/>
    <col min="12280" max="12280" width="12.7265625" style="44" customWidth="1"/>
    <col min="12281" max="12281" width="14.453125" style="44" customWidth="1"/>
    <col min="12282" max="12282" width="12.1796875" style="44" customWidth="1"/>
    <col min="12283" max="12284" width="11.81640625" style="44" customWidth="1"/>
    <col min="12285" max="12533" width="9.1796875" style="44"/>
    <col min="12534" max="12534" width="6.453125" style="44" customWidth="1"/>
    <col min="12535" max="12535" width="47.81640625" style="44" customWidth="1"/>
    <col min="12536" max="12536" width="12.7265625" style="44" customWidth="1"/>
    <col min="12537" max="12537" width="14.453125" style="44" customWidth="1"/>
    <col min="12538" max="12538" width="12.1796875" style="44" customWidth="1"/>
    <col min="12539" max="12540" width="11.81640625" style="44" customWidth="1"/>
    <col min="12541" max="12789" width="9.1796875" style="44"/>
    <col min="12790" max="12790" width="6.453125" style="44" customWidth="1"/>
    <col min="12791" max="12791" width="47.81640625" style="44" customWidth="1"/>
    <col min="12792" max="12792" width="12.7265625" style="44" customWidth="1"/>
    <col min="12793" max="12793" width="14.453125" style="44" customWidth="1"/>
    <col min="12794" max="12794" width="12.1796875" style="44" customWidth="1"/>
    <col min="12795" max="12796" width="11.81640625" style="44" customWidth="1"/>
    <col min="12797" max="13045" width="9.1796875" style="44"/>
    <col min="13046" max="13046" width="6.453125" style="44" customWidth="1"/>
    <col min="13047" max="13047" width="47.81640625" style="44" customWidth="1"/>
    <col min="13048" max="13048" width="12.7265625" style="44" customWidth="1"/>
    <col min="13049" max="13049" width="14.453125" style="44" customWidth="1"/>
    <col min="13050" max="13050" width="12.1796875" style="44" customWidth="1"/>
    <col min="13051" max="13052" width="11.81640625" style="44" customWidth="1"/>
    <col min="13053" max="13301" width="9.1796875" style="44"/>
    <col min="13302" max="13302" width="6.453125" style="44" customWidth="1"/>
    <col min="13303" max="13303" width="47.81640625" style="44" customWidth="1"/>
    <col min="13304" max="13304" width="12.7265625" style="44" customWidth="1"/>
    <col min="13305" max="13305" width="14.453125" style="44" customWidth="1"/>
    <col min="13306" max="13306" width="12.1796875" style="44" customWidth="1"/>
    <col min="13307" max="13308" width="11.81640625" style="44" customWidth="1"/>
    <col min="13309" max="13557" width="9.1796875" style="44"/>
    <col min="13558" max="13558" width="6.453125" style="44" customWidth="1"/>
    <col min="13559" max="13559" width="47.81640625" style="44" customWidth="1"/>
    <col min="13560" max="13560" width="12.7265625" style="44" customWidth="1"/>
    <col min="13561" max="13561" width="14.453125" style="44" customWidth="1"/>
    <col min="13562" max="13562" width="12.1796875" style="44" customWidth="1"/>
    <col min="13563" max="13564" width="11.81640625" style="44" customWidth="1"/>
    <col min="13565" max="13813" width="9.1796875" style="44"/>
    <col min="13814" max="13814" width="6.453125" style="44" customWidth="1"/>
    <col min="13815" max="13815" width="47.81640625" style="44" customWidth="1"/>
    <col min="13816" max="13816" width="12.7265625" style="44" customWidth="1"/>
    <col min="13817" max="13817" width="14.453125" style="44" customWidth="1"/>
    <col min="13818" max="13818" width="12.1796875" style="44" customWidth="1"/>
    <col min="13819" max="13820" width="11.81640625" style="44" customWidth="1"/>
    <col min="13821" max="14069" width="9.1796875" style="44"/>
    <col min="14070" max="14070" width="6.453125" style="44" customWidth="1"/>
    <col min="14071" max="14071" width="47.81640625" style="44" customWidth="1"/>
    <col min="14072" max="14072" width="12.7265625" style="44" customWidth="1"/>
    <col min="14073" max="14073" width="14.453125" style="44" customWidth="1"/>
    <col min="14074" max="14074" width="12.1796875" style="44" customWidth="1"/>
    <col min="14075" max="14076" width="11.81640625" style="44" customWidth="1"/>
    <col min="14077" max="14325" width="9.1796875" style="44"/>
    <col min="14326" max="14326" width="6.453125" style="44" customWidth="1"/>
    <col min="14327" max="14327" width="47.81640625" style="44" customWidth="1"/>
    <col min="14328" max="14328" width="12.7265625" style="44" customWidth="1"/>
    <col min="14329" max="14329" width="14.453125" style="44" customWidth="1"/>
    <col min="14330" max="14330" width="12.1796875" style="44" customWidth="1"/>
    <col min="14331" max="14332" width="11.81640625" style="44" customWidth="1"/>
    <col min="14333" max="14581" width="9.1796875" style="44"/>
    <col min="14582" max="14582" width="6.453125" style="44" customWidth="1"/>
    <col min="14583" max="14583" width="47.81640625" style="44" customWidth="1"/>
    <col min="14584" max="14584" width="12.7265625" style="44" customWidth="1"/>
    <col min="14585" max="14585" width="14.453125" style="44" customWidth="1"/>
    <col min="14586" max="14586" width="12.1796875" style="44" customWidth="1"/>
    <col min="14587" max="14588" width="11.81640625" style="44" customWidth="1"/>
    <col min="14589" max="14837" width="9.1796875" style="44"/>
    <col min="14838" max="14838" width="6.453125" style="44" customWidth="1"/>
    <col min="14839" max="14839" width="47.81640625" style="44" customWidth="1"/>
    <col min="14840" max="14840" width="12.7265625" style="44" customWidth="1"/>
    <col min="14841" max="14841" width="14.453125" style="44" customWidth="1"/>
    <col min="14842" max="14842" width="12.1796875" style="44" customWidth="1"/>
    <col min="14843" max="14844" width="11.81640625" style="44" customWidth="1"/>
    <col min="14845" max="15093" width="9.1796875" style="44"/>
    <col min="15094" max="15094" width="6.453125" style="44" customWidth="1"/>
    <col min="15095" max="15095" width="47.81640625" style="44" customWidth="1"/>
    <col min="15096" max="15096" width="12.7265625" style="44" customWidth="1"/>
    <col min="15097" max="15097" width="14.453125" style="44" customWidth="1"/>
    <col min="15098" max="15098" width="12.1796875" style="44" customWidth="1"/>
    <col min="15099" max="15100" width="11.81640625" style="44" customWidth="1"/>
    <col min="15101" max="15349" width="9.1796875" style="44"/>
    <col min="15350" max="15350" width="6.453125" style="44" customWidth="1"/>
    <col min="15351" max="15351" width="47.81640625" style="44" customWidth="1"/>
    <col min="15352" max="15352" width="12.7265625" style="44" customWidth="1"/>
    <col min="15353" max="15353" width="14.453125" style="44" customWidth="1"/>
    <col min="15354" max="15354" width="12.1796875" style="44" customWidth="1"/>
    <col min="15355" max="15356" width="11.81640625" style="44" customWidth="1"/>
    <col min="15357" max="15605" width="9.1796875" style="44"/>
    <col min="15606" max="15606" width="6.453125" style="44" customWidth="1"/>
    <col min="15607" max="15607" width="47.81640625" style="44" customWidth="1"/>
    <col min="15608" max="15608" width="12.7265625" style="44" customWidth="1"/>
    <col min="15609" max="15609" width="14.453125" style="44" customWidth="1"/>
    <col min="15610" max="15610" width="12.1796875" style="44" customWidth="1"/>
    <col min="15611" max="15612" width="11.81640625" style="44" customWidth="1"/>
    <col min="15613" max="15861" width="9.1796875" style="44"/>
    <col min="15862" max="15862" width="6.453125" style="44" customWidth="1"/>
    <col min="15863" max="15863" width="47.81640625" style="44" customWidth="1"/>
    <col min="15864" max="15864" width="12.7265625" style="44" customWidth="1"/>
    <col min="15865" max="15865" width="14.453125" style="44" customWidth="1"/>
    <col min="15866" max="15866" width="12.1796875" style="44" customWidth="1"/>
    <col min="15867" max="15868" width="11.81640625" style="44" customWidth="1"/>
    <col min="15869" max="16117" width="9.1796875" style="44"/>
    <col min="16118" max="16118" width="6.453125" style="44" customWidth="1"/>
    <col min="16119" max="16119" width="47.81640625" style="44" customWidth="1"/>
    <col min="16120" max="16120" width="12.7265625" style="44" customWidth="1"/>
    <col min="16121" max="16121" width="14.453125" style="44" customWidth="1"/>
    <col min="16122" max="16122" width="12.1796875" style="44" customWidth="1"/>
    <col min="16123" max="16124" width="11.81640625" style="44" customWidth="1"/>
    <col min="16125" max="16384" width="9.1796875" style="44"/>
  </cols>
  <sheetData>
    <row r="1" spans="1:15" x14ac:dyDescent="0.3">
      <c r="A1" s="514"/>
      <c r="B1" s="514"/>
      <c r="E1" s="515"/>
    </row>
    <row r="2" spans="1:15" x14ac:dyDescent="0.3">
      <c r="A2" s="514"/>
      <c r="B2" s="514"/>
    </row>
    <row r="3" spans="1:15" ht="24.5" customHeight="1" x14ac:dyDescent="0.3">
      <c r="A3" s="1472" t="s">
        <v>1015</v>
      </c>
      <c r="B3" s="1472"/>
      <c r="C3" s="1472"/>
      <c r="D3" s="613"/>
      <c r="E3" s="613"/>
    </row>
    <row r="4" spans="1:15" x14ac:dyDescent="0.3">
      <c r="A4" s="613"/>
      <c r="B4" s="613"/>
    </row>
    <row r="5" spans="1:15" x14ac:dyDescent="0.3">
      <c r="A5" s="514"/>
      <c r="B5" s="514"/>
    </row>
    <row r="6" spans="1:15" ht="23.5" customHeight="1" x14ac:dyDescent="0.3">
      <c r="A6" s="1473" t="s">
        <v>187</v>
      </c>
      <c r="B6" s="1473" t="s">
        <v>276</v>
      </c>
      <c r="C6" s="510" t="s">
        <v>1030</v>
      </c>
      <c r="D6" s="152" t="s">
        <v>1016</v>
      </c>
      <c r="E6" s="516" t="s">
        <v>1016</v>
      </c>
      <c r="F6" s="1475" t="s">
        <v>1278</v>
      </c>
      <c r="G6" s="1476"/>
      <c r="H6" s="1477" t="s">
        <v>1275</v>
      </c>
      <c r="I6" s="1477" t="s">
        <v>1276</v>
      </c>
      <c r="J6" s="1475" t="s">
        <v>1277</v>
      </c>
      <c r="K6" s="1476"/>
      <c r="L6" s="1477" t="s">
        <v>1279</v>
      </c>
      <c r="M6" s="1477" t="s">
        <v>1276</v>
      </c>
      <c r="N6" s="1475" t="s">
        <v>1280</v>
      </c>
      <c r="O6" s="1476"/>
    </row>
    <row r="7" spans="1:15" ht="52" x14ac:dyDescent="0.3">
      <c r="A7" s="1474"/>
      <c r="B7" s="1474"/>
      <c r="C7" s="152" t="s">
        <v>1029</v>
      </c>
      <c r="D7" s="152" t="s">
        <v>1031</v>
      </c>
      <c r="E7" s="516" t="s">
        <v>1055</v>
      </c>
      <c r="F7" s="152" t="s">
        <v>1016</v>
      </c>
      <c r="G7" s="510" t="s">
        <v>1030</v>
      </c>
      <c r="H7" s="1478"/>
      <c r="I7" s="1478"/>
      <c r="J7" s="152" t="s">
        <v>1016</v>
      </c>
      <c r="K7" s="510" t="s">
        <v>1030</v>
      </c>
      <c r="L7" s="1478"/>
      <c r="M7" s="1478"/>
      <c r="N7" s="152" t="s">
        <v>1016</v>
      </c>
      <c r="O7" s="510" t="s">
        <v>1030</v>
      </c>
    </row>
    <row r="8" spans="1:15" x14ac:dyDescent="0.3">
      <c r="A8" s="611">
        <v>1</v>
      </c>
      <c r="B8" s="611">
        <v>2</v>
      </c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</row>
    <row r="9" spans="1:15" x14ac:dyDescent="0.3">
      <c r="A9" s="108" t="s">
        <v>26</v>
      </c>
      <c r="B9" s="517" t="s">
        <v>346</v>
      </c>
      <c r="C9" s="502">
        <v>1217.0317736555569</v>
      </c>
      <c r="D9" s="502">
        <v>2025.5</v>
      </c>
      <c r="E9" s="502">
        <f>D9-C9</f>
        <v>808.46822634444311</v>
      </c>
      <c r="F9" s="502">
        <v>2879</v>
      </c>
      <c r="G9" s="502">
        <v>2057.25</v>
      </c>
      <c r="H9" s="502">
        <v>2051.5500000000002</v>
      </c>
      <c r="I9" s="502">
        <f>H9-G9</f>
        <v>-5.6999999999998181</v>
      </c>
      <c r="J9" s="501">
        <v>4119.97</v>
      </c>
      <c r="K9" s="501">
        <v>2216.44</v>
      </c>
      <c r="L9" s="501">
        <v>1846.34</v>
      </c>
      <c r="M9" s="502">
        <f>L9-K9</f>
        <v>-370.10000000000014</v>
      </c>
      <c r="N9" s="501">
        <v>4621.03</v>
      </c>
      <c r="O9" s="501">
        <v>2297.41</v>
      </c>
    </row>
    <row r="10" spans="1:15" x14ac:dyDescent="0.3">
      <c r="A10" s="108" t="s">
        <v>28</v>
      </c>
      <c r="B10" s="517" t="s">
        <v>1017</v>
      </c>
      <c r="C10" s="503">
        <v>2069.4876643642392</v>
      </c>
      <c r="D10" s="503">
        <v>1814.3</v>
      </c>
      <c r="E10" s="502">
        <f t="shared" ref="E10:E53" si="0">D10-C10</f>
        <v>-255.18766436423925</v>
      </c>
      <c r="F10" s="502">
        <v>3577</v>
      </c>
      <c r="G10" s="502">
        <v>2154.38</v>
      </c>
      <c r="H10" s="502">
        <v>2271.4499999999998</v>
      </c>
      <c r="I10" s="502">
        <f t="shared" ref="I10:I53" si="1">H10-G10</f>
        <v>117.06999999999971</v>
      </c>
      <c r="J10" s="501">
        <v>5391.1</v>
      </c>
      <c r="K10" s="501">
        <v>2321.08</v>
      </c>
      <c r="L10" s="501">
        <v>3691.38</v>
      </c>
      <c r="M10" s="502">
        <f t="shared" ref="M10:M41" si="2">L10-K10</f>
        <v>1370.3000000000002</v>
      </c>
      <c r="N10" s="501">
        <v>2897.8</v>
      </c>
      <c r="O10" s="501">
        <v>2405.87</v>
      </c>
    </row>
    <row r="11" spans="1:15" x14ac:dyDescent="0.3">
      <c r="A11" s="108"/>
      <c r="B11" s="517" t="s">
        <v>347</v>
      </c>
      <c r="C11" s="501"/>
      <c r="D11" s="501"/>
      <c r="E11" s="502">
        <f t="shared" si="0"/>
        <v>0</v>
      </c>
      <c r="F11" s="502"/>
      <c r="G11" s="502"/>
      <c r="H11" s="502"/>
      <c r="I11" s="502">
        <f t="shared" si="1"/>
        <v>0</v>
      </c>
      <c r="J11" s="501"/>
      <c r="K11" s="501"/>
      <c r="L11" s="501"/>
      <c r="M11" s="502">
        <f t="shared" si="2"/>
        <v>0</v>
      </c>
      <c r="N11" s="501"/>
      <c r="O11" s="501"/>
    </row>
    <row r="12" spans="1:15" x14ac:dyDescent="0.3">
      <c r="A12" s="108" t="s">
        <v>30</v>
      </c>
      <c r="B12" s="517" t="s">
        <v>783</v>
      </c>
      <c r="C12" s="501"/>
      <c r="D12" s="501"/>
      <c r="E12" s="502">
        <f t="shared" si="0"/>
        <v>0</v>
      </c>
      <c r="F12" s="502"/>
      <c r="G12" s="502"/>
      <c r="H12" s="502">
        <v>317.75</v>
      </c>
      <c r="I12" s="502">
        <f t="shared" si="1"/>
        <v>317.75</v>
      </c>
      <c r="J12" s="501">
        <v>1913.4</v>
      </c>
      <c r="K12" s="501"/>
      <c r="L12" s="501">
        <v>1690.28</v>
      </c>
      <c r="M12" s="502">
        <f t="shared" si="2"/>
        <v>1690.28</v>
      </c>
      <c r="N12" s="501"/>
      <c r="O12" s="501"/>
    </row>
    <row r="13" spans="1:15" x14ac:dyDescent="0.3">
      <c r="A13" s="108"/>
      <c r="B13" s="517" t="s">
        <v>347</v>
      </c>
      <c r="C13" s="501"/>
      <c r="D13" s="501"/>
      <c r="E13" s="502">
        <f t="shared" si="0"/>
        <v>0</v>
      </c>
      <c r="F13" s="502"/>
      <c r="G13" s="502"/>
      <c r="H13" s="502">
        <v>223.53</v>
      </c>
      <c r="I13" s="502">
        <f t="shared" si="1"/>
        <v>223.53</v>
      </c>
      <c r="J13" s="501"/>
      <c r="K13" s="501"/>
      <c r="L13" s="501"/>
      <c r="M13" s="502">
        <f t="shared" si="2"/>
        <v>0</v>
      </c>
      <c r="N13" s="501"/>
      <c r="O13" s="501"/>
    </row>
    <row r="14" spans="1:15" x14ac:dyDescent="0.3">
      <c r="A14" s="108" t="s">
        <v>206</v>
      </c>
      <c r="B14" s="517" t="s">
        <v>349</v>
      </c>
      <c r="C14" s="503"/>
      <c r="D14" s="503"/>
      <c r="E14" s="502">
        <f t="shared" si="0"/>
        <v>0</v>
      </c>
      <c r="F14" s="502"/>
      <c r="G14" s="502"/>
      <c r="H14" s="502"/>
      <c r="I14" s="502">
        <f t="shared" si="1"/>
        <v>0</v>
      </c>
      <c r="J14" s="501"/>
      <c r="K14" s="501"/>
      <c r="L14" s="501"/>
      <c r="M14" s="502">
        <f t="shared" si="2"/>
        <v>0</v>
      </c>
      <c r="N14" s="501"/>
      <c r="O14" s="501"/>
    </row>
    <row r="15" spans="1:15" x14ac:dyDescent="0.3">
      <c r="A15" s="108" t="s">
        <v>278</v>
      </c>
      <c r="B15" s="517" t="s">
        <v>350</v>
      </c>
      <c r="C15" s="502">
        <v>95.640749849999992</v>
      </c>
      <c r="D15" s="502">
        <f>D17</f>
        <v>45.5</v>
      </c>
      <c r="E15" s="502">
        <f t="shared" si="0"/>
        <v>-50.140749849999992</v>
      </c>
      <c r="F15" s="502">
        <v>890</v>
      </c>
      <c r="G15" s="502">
        <v>136.43</v>
      </c>
      <c r="H15" s="502">
        <v>180.35</v>
      </c>
      <c r="I15" s="502">
        <f t="shared" si="1"/>
        <v>43.919999999999987</v>
      </c>
      <c r="J15" s="501">
        <v>205.5</v>
      </c>
      <c r="K15" s="501">
        <v>203.25</v>
      </c>
      <c r="L15" s="501">
        <f>L16+L17</f>
        <v>229.07999999999998</v>
      </c>
      <c r="M15" s="502">
        <f t="shared" si="2"/>
        <v>25.829999999999984</v>
      </c>
      <c r="N15" s="501">
        <v>283.10000000000002</v>
      </c>
      <c r="O15" s="501">
        <v>266.01</v>
      </c>
    </row>
    <row r="16" spans="1:15" x14ac:dyDescent="0.3">
      <c r="A16" s="108" t="s">
        <v>351</v>
      </c>
      <c r="B16" s="517" t="s">
        <v>352</v>
      </c>
      <c r="C16" s="502">
        <v>0</v>
      </c>
      <c r="D16" s="502">
        <v>0</v>
      </c>
      <c r="E16" s="502">
        <f t="shared" si="0"/>
        <v>0</v>
      </c>
      <c r="F16" s="502">
        <v>762</v>
      </c>
      <c r="G16" s="502">
        <v>0</v>
      </c>
      <c r="H16" s="502"/>
      <c r="I16" s="502">
        <f t="shared" si="1"/>
        <v>0</v>
      </c>
      <c r="J16" s="501"/>
      <c r="K16" s="501"/>
      <c r="L16" s="501">
        <v>37.01</v>
      </c>
      <c r="M16" s="502">
        <f t="shared" si="2"/>
        <v>37.01</v>
      </c>
      <c r="N16" s="501">
        <v>64.2</v>
      </c>
      <c r="O16" s="501">
        <v>64.2</v>
      </c>
    </row>
    <row r="17" spans="1:15" x14ac:dyDescent="0.3">
      <c r="A17" s="108" t="s">
        <v>353</v>
      </c>
      <c r="B17" s="517" t="s">
        <v>354</v>
      </c>
      <c r="C17" s="502">
        <v>95.640749849999992</v>
      </c>
      <c r="D17" s="502">
        <v>45.5</v>
      </c>
      <c r="E17" s="502">
        <f t="shared" si="0"/>
        <v>-50.140749849999992</v>
      </c>
      <c r="F17" s="502">
        <v>128</v>
      </c>
      <c r="G17" s="502">
        <v>136.43</v>
      </c>
      <c r="H17" s="502">
        <v>180.35</v>
      </c>
      <c r="I17" s="502">
        <f t="shared" si="1"/>
        <v>43.919999999999987</v>
      </c>
      <c r="J17" s="501">
        <v>205.5</v>
      </c>
      <c r="K17" s="501">
        <v>203.25</v>
      </c>
      <c r="L17" s="501">
        <v>192.07</v>
      </c>
      <c r="M17" s="502">
        <f t="shared" si="2"/>
        <v>-11.180000000000007</v>
      </c>
      <c r="N17" s="501">
        <v>218.9</v>
      </c>
      <c r="O17" s="501">
        <v>201.81</v>
      </c>
    </row>
    <row r="18" spans="1:15" x14ac:dyDescent="0.3">
      <c r="A18" s="108" t="s">
        <v>280</v>
      </c>
      <c r="B18" s="517" t="s">
        <v>355</v>
      </c>
      <c r="C18" s="503">
        <v>14583.946915963425</v>
      </c>
      <c r="D18" s="503">
        <v>16983</v>
      </c>
      <c r="E18" s="502">
        <f t="shared" si="0"/>
        <v>2399.0530840365755</v>
      </c>
      <c r="F18" s="502">
        <v>82557</v>
      </c>
      <c r="G18" s="502">
        <v>28088.3</v>
      </c>
      <c r="H18" s="502">
        <v>27380.42</v>
      </c>
      <c r="I18" s="502">
        <f t="shared" si="1"/>
        <v>-707.88000000000102</v>
      </c>
      <c r="J18" s="501">
        <v>82157.05</v>
      </c>
      <c r="K18" s="501">
        <v>30261.72</v>
      </c>
      <c r="L18" s="501">
        <v>32421.33</v>
      </c>
      <c r="M18" s="502">
        <f t="shared" si="2"/>
        <v>2159.6100000000006</v>
      </c>
      <c r="N18" s="501">
        <v>32781.269999999997</v>
      </c>
      <c r="O18" s="501">
        <v>31367.18</v>
      </c>
    </row>
    <row r="19" spans="1:15" x14ac:dyDescent="0.3">
      <c r="A19" s="108"/>
      <c r="B19" s="517" t="s">
        <v>347</v>
      </c>
      <c r="C19" s="501"/>
      <c r="D19" s="501"/>
      <c r="E19" s="502">
        <f t="shared" si="0"/>
        <v>0</v>
      </c>
      <c r="F19" s="502"/>
      <c r="G19" s="502"/>
      <c r="H19" s="502"/>
      <c r="I19" s="502">
        <f t="shared" si="1"/>
        <v>0</v>
      </c>
      <c r="J19" s="501"/>
      <c r="K19" s="501"/>
      <c r="L19" s="501"/>
      <c r="M19" s="502">
        <f t="shared" si="2"/>
        <v>0</v>
      </c>
      <c r="N19" s="501"/>
      <c r="O19" s="501"/>
    </row>
    <row r="20" spans="1:15" x14ac:dyDescent="0.3">
      <c r="A20" s="108" t="s">
        <v>32</v>
      </c>
      <c r="B20" s="518" t="s">
        <v>356</v>
      </c>
      <c r="C20" s="502">
        <v>4433.5198624528812</v>
      </c>
      <c r="D20" s="502">
        <v>4902</v>
      </c>
      <c r="E20" s="502">
        <f t="shared" si="0"/>
        <v>468.48013754711883</v>
      </c>
      <c r="F20" s="502">
        <v>25097</v>
      </c>
      <c r="G20" s="502">
        <v>8538.84</v>
      </c>
      <c r="H20" s="502">
        <v>7794</v>
      </c>
      <c r="I20" s="502">
        <f t="shared" si="1"/>
        <v>-744.84000000000015</v>
      </c>
      <c r="J20" s="501">
        <v>24714.91</v>
      </c>
      <c r="K20" s="501">
        <v>9199.56</v>
      </c>
      <c r="L20" s="501">
        <v>9289.61</v>
      </c>
      <c r="M20" s="502">
        <f t="shared" si="2"/>
        <v>90.050000000001091</v>
      </c>
      <c r="N20" s="501">
        <v>9907.93</v>
      </c>
      <c r="O20" s="501">
        <v>9535.6200000000008</v>
      </c>
    </row>
    <row r="21" spans="1:15" x14ac:dyDescent="0.3">
      <c r="A21" s="108"/>
      <c r="B21" s="517" t="s">
        <v>347</v>
      </c>
      <c r="C21" s="501"/>
      <c r="D21" s="501"/>
      <c r="E21" s="502">
        <f t="shared" si="0"/>
        <v>0</v>
      </c>
      <c r="F21" s="502"/>
      <c r="G21" s="502"/>
      <c r="H21" s="502"/>
      <c r="I21" s="502">
        <f t="shared" si="1"/>
        <v>0</v>
      </c>
      <c r="J21" s="501"/>
      <c r="K21" s="501"/>
      <c r="L21" s="501"/>
      <c r="M21" s="502">
        <f t="shared" si="2"/>
        <v>0</v>
      </c>
      <c r="N21" s="501"/>
      <c r="O21" s="501"/>
    </row>
    <row r="22" spans="1:15" x14ac:dyDescent="0.3">
      <c r="A22" s="108" t="s">
        <v>282</v>
      </c>
      <c r="B22" s="519" t="s">
        <v>357</v>
      </c>
      <c r="C22" s="502">
        <v>1227.89960811525</v>
      </c>
      <c r="D22" s="502">
        <v>2050</v>
      </c>
      <c r="E22" s="502">
        <f t="shared" si="0"/>
        <v>822.10039188475002</v>
      </c>
      <c r="F22" s="502">
        <v>10947.46</v>
      </c>
      <c r="G22" s="502">
        <v>10947.46</v>
      </c>
      <c r="H22" s="502">
        <v>4680</v>
      </c>
      <c r="I22" s="502">
        <f t="shared" si="1"/>
        <v>-6267.4599999999991</v>
      </c>
      <c r="J22" s="501">
        <v>14010.6</v>
      </c>
      <c r="K22" s="501">
        <v>10947.46</v>
      </c>
      <c r="L22" s="501">
        <v>5891.47</v>
      </c>
      <c r="M22" s="502">
        <f t="shared" si="2"/>
        <v>-5055.9899999999989</v>
      </c>
      <c r="N22" s="501">
        <v>10947.46</v>
      </c>
      <c r="O22" s="501">
        <v>10947.46</v>
      </c>
    </row>
    <row r="23" spans="1:15" x14ac:dyDescent="0.3">
      <c r="A23" s="108" t="s">
        <v>285</v>
      </c>
      <c r="B23" s="517" t="s">
        <v>358</v>
      </c>
      <c r="C23" s="502">
        <v>7121.6024185763981</v>
      </c>
      <c r="D23" s="502">
        <f>D24+D25+D27+D30+D34</f>
        <v>10344.08</v>
      </c>
      <c r="E23" s="502">
        <f t="shared" si="0"/>
        <v>3222.4775814236018</v>
      </c>
      <c r="F23" s="502">
        <v>20062</v>
      </c>
      <c r="G23" s="502">
        <v>10126.57</v>
      </c>
      <c r="H23" s="502">
        <v>13834.98</v>
      </c>
      <c r="I23" s="502">
        <f t="shared" si="1"/>
        <v>3708.41</v>
      </c>
      <c r="J23" s="501">
        <v>22011.11</v>
      </c>
      <c r="K23" s="501">
        <v>14787.16</v>
      </c>
      <c r="L23" s="501">
        <f>L25+L26+L27+L30+L34</f>
        <v>15090.060000000001</v>
      </c>
      <c r="M23" s="502">
        <f t="shared" si="2"/>
        <v>302.90000000000146</v>
      </c>
      <c r="N23" s="501">
        <v>20353.490000000002</v>
      </c>
      <c r="O23" s="501">
        <v>14822.81</v>
      </c>
    </row>
    <row r="24" spans="1:15" ht="26" x14ac:dyDescent="0.3">
      <c r="A24" s="520" t="s">
        <v>359</v>
      </c>
      <c r="B24" s="521" t="s">
        <v>1085</v>
      </c>
      <c r="C24" s="503">
        <v>550</v>
      </c>
      <c r="D24" s="503">
        <v>550</v>
      </c>
      <c r="E24" s="502">
        <f t="shared" si="0"/>
        <v>0</v>
      </c>
      <c r="F24" s="502">
        <v>0</v>
      </c>
      <c r="G24" s="502">
        <v>0</v>
      </c>
      <c r="H24" s="502">
        <v>355.9</v>
      </c>
      <c r="I24" s="502">
        <f t="shared" si="1"/>
        <v>355.9</v>
      </c>
      <c r="J24" s="501">
        <v>420</v>
      </c>
      <c r="K24" s="501"/>
      <c r="L24" s="501"/>
      <c r="M24" s="502">
        <f t="shared" si="2"/>
        <v>0</v>
      </c>
      <c r="N24" s="501"/>
      <c r="O24" s="501"/>
    </row>
    <row r="25" spans="1:15" x14ac:dyDescent="0.3">
      <c r="A25" s="108" t="s">
        <v>360</v>
      </c>
      <c r="B25" s="517" t="s">
        <v>1018</v>
      </c>
      <c r="C25" s="502">
        <v>37.9</v>
      </c>
      <c r="D25" s="502">
        <v>43.8</v>
      </c>
      <c r="E25" s="502">
        <f t="shared" si="0"/>
        <v>5.8999999999999986</v>
      </c>
      <c r="F25" s="502">
        <v>40</v>
      </c>
      <c r="G25" s="502">
        <v>40</v>
      </c>
      <c r="H25" s="502">
        <v>51.6</v>
      </c>
      <c r="I25" s="502">
        <f t="shared" si="1"/>
        <v>11.600000000000001</v>
      </c>
      <c r="J25" s="501">
        <v>57.5</v>
      </c>
      <c r="K25" s="501"/>
      <c r="L25" s="501">
        <v>56.39</v>
      </c>
      <c r="M25" s="502">
        <f t="shared" si="2"/>
        <v>56.39</v>
      </c>
      <c r="N25" s="501">
        <v>58.1</v>
      </c>
      <c r="O25" s="501">
        <v>44.7</v>
      </c>
    </row>
    <row r="26" spans="1:15" x14ac:dyDescent="0.3">
      <c r="A26" s="108" t="s">
        <v>361</v>
      </c>
      <c r="B26" s="517" t="s">
        <v>362</v>
      </c>
      <c r="C26" s="504"/>
      <c r="D26" s="501">
        <v>0</v>
      </c>
      <c r="E26" s="502">
        <f t="shared" si="0"/>
        <v>0</v>
      </c>
      <c r="F26" s="502">
        <v>6</v>
      </c>
      <c r="G26" s="502">
        <v>0</v>
      </c>
      <c r="H26" s="502">
        <v>33.1</v>
      </c>
      <c r="I26" s="502">
        <f t="shared" si="1"/>
        <v>33.1</v>
      </c>
      <c r="J26" s="501">
        <v>33.1</v>
      </c>
      <c r="K26" s="501">
        <v>20</v>
      </c>
      <c r="L26" s="501">
        <v>18.63</v>
      </c>
      <c r="M26" s="502">
        <f t="shared" si="2"/>
        <v>-1.370000000000001</v>
      </c>
      <c r="N26" s="501">
        <v>19.100000000000001</v>
      </c>
      <c r="O26" s="501">
        <v>19.100000000000001</v>
      </c>
    </row>
    <row r="27" spans="1:15" ht="118" customHeight="1" x14ac:dyDescent="0.3">
      <c r="A27" s="520" t="s">
        <v>1019</v>
      </c>
      <c r="B27" s="517" t="s">
        <v>1020</v>
      </c>
      <c r="C27" s="502">
        <v>5267.95</v>
      </c>
      <c r="D27" s="502">
        <v>5351.88</v>
      </c>
      <c r="E27" s="502">
        <f t="shared" si="0"/>
        <v>83.930000000000291</v>
      </c>
      <c r="F27" s="502">
        <v>9111</v>
      </c>
      <c r="G27" s="502">
        <v>5528.72</v>
      </c>
      <c r="H27" s="502">
        <v>9074.0499999999993</v>
      </c>
      <c r="I27" s="502">
        <f t="shared" si="1"/>
        <v>3545.329999999999</v>
      </c>
      <c r="J27" s="501">
        <v>13095.1</v>
      </c>
      <c r="K27" s="501">
        <v>9557.8700000000008</v>
      </c>
      <c r="L27" s="501">
        <v>9197.2800000000007</v>
      </c>
      <c r="M27" s="502">
        <f t="shared" si="2"/>
        <v>-360.59000000000015</v>
      </c>
      <c r="N27" s="501">
        <v>13144.83</v>
      </c>
      <c r="O27" s="501">
        <v>9531.93</v>
      </c>
    </row>
    <row r="28" spans="1:15" ht="26" x14ac:dyDescent="0.3">
      <c r="A28" s="108" t="s">
        <v>1021</v>
      </c>
      <c r="B28" s="517" t="s">
        <v>1022</v>
      </c>
      <c r="C28" s="504"/>
      <c r="D28" s="504"/>
      <c r="E28" s="502">
        <f t="shared" si="0"/>
        <v>0</v>
      </c>
      <c r="F28" s="502"/>
      <c r="G28" s="502"/>
      <c r="H28" s="502"/>
      <c r="I28" s="502">
        <f t="shared" si="1"/>
        <v>0</v>
      </c>
      <c r="J28" s="501"/>
      <c r="K28" s="501"/>
      <c r="L28" s="501"/>
      <c r="M28" s="502">
        <f t="shared" si="2"/>
        <v>0</v>
      </c>
      <c r="N28" s="501"/>
      <c r="O28" s="501"/>
    </row>
    <row r="29" spans="1:15" x14ac:dyDescent="0.3">
      <c r="A29" s="108" t="s">
        <v>1023</v>
      </c>
      <c r="B29" s="517" t="s">
        <v>1024</v>
      </c>
      <c r="C29" s="502"/>
      <c r="D29" s="502"/>
      <c r="E29" s="502">
        <f t="shared" si="0"/>
        <v>0</v>
      </c>
      <c r="F29" s="502"/>
      <c r="G29" s="502"/>
      <c r="H29" s="502"/>
      <c r="I29" s="502">
        <f t="shared" si="1"/>
        <v>0</v>
      </c>
      <c r="J29" s="501"/>
      <c r="K29" s="501"/>
      <c r="L29" s="501"/>
      <c r="M29" s="502">
        <f t="shared" si="2"/>
        <v>0</v>
      </c>
      <c r="N29" s="501"/>
      <c r="O29" s="501"/>
    </row>
    <row r="30" spans="1:15" ht="26" x14ac:dyDescent="0.3">
      <c r="A30" s="108" t="s">
        <v>363</v>
      </c>
      <c r="B30" s="517" t="s">
        <v>364</v>
      </c>
      <c r="C30" s="502">
        <v>314.2094675925</v>
      </c>
      <c r="D30" s="502">
        <v>821.9</v>
      </c>
      <c r="E30" s="502">
        <f t="shared" si="0"/>
        <v>507.69053240749997</v>
      </c>
      <c r="F30" s="502">
        <v>6354</v>
      </c>
      <c r="G30" s="502">
        <v>3034.88</v>
      </c>
      <c r="H30" s="502">
        <v>1926.26</v>
      </c>
      <c r="I30" s="502">
        <f t="shared" si="1"/>
        <v>-1108.6200000000001</v>
      </c>
      <c r="J30" s="501">
        <v>3676.2</v>
      </c>
      <c r="K30" s="501">
        <v>3526.28</v>
      </c>
      <c r="L30" s="501">
        <v>2914.3</v>
      </c>
      <c r="M30" s="502">
        <f t="shared" si="2"/>
        <v>-611.98</v>
      </c>
      <c r="N30" s="501">
        <v>3526.33</v>
      </c>
      <c r="O30" s="501">
        <v>3526.33</v>
      </c>
    </row>
    <row r="31" spans="1:15" x14ac:dyDescent="0.3">
      <c r="A31" s="108" t="s">
        <v>365</v>
      </c>
      <c r="B31" s="517" t="s">
        <v>366</v>
      </c>
      <c r="C31" s="501"/>
      <c r="D31" s="501"/>
      <c r="E31" s="502">
        <f t="shared" si="0"/>
        <v>0</v>
      </c>
      <c r="F31" s="502"/>
      <c r="G31" s="502"/>
      <c r="H31" s="502"/>
      <c r="I31" s="502">
        <f t="shared" si="1"/>
        <v>0</v>
      </c>
      <c r="J31" s="501"/>
      <c r="K31" s="501"/>
      <c r="L31" s="501"/>
      <c r="M31" s="502">
        <f t="shared" si="2"/>
        <v>0</v>
      </c>
      <c r="N31" s="501"/>
      <c r="O31" s="501"/>
    </row>
    <row r="32" spans="1:15" x14ac:dyDescent="0.3">
      <c r="A32" s="108" t="s">
        <v>367</v>
      </c>
      <c r="B32" s="517" t="s">
        <v>368</v>
      </c>
      <c r="C32" s="502">
        <v>27.910499999999999</v>
      </c>
      <c r="D32" s="502">
        <v>32</v>
      </c>
      <c r="E32" s="502">
        <f t="shared" si="0"/>
        <v>4.089500000000001</v>
      </c>
      <c r="F32" s="502">
        <v>42</v>
      </c>
      <c r="G32" s="502">
        <v>39.71</v>
      </c>
      <c r="H32" s="502">
        <v>44.93</v>
      </c>
      <c r="I32" s="502">
        <f t="shared" si="1"/>
        <v>5.2199999999999989</v>
      </c>
      <c r="J32" s="501">
        <v>45.54</v>
      </c>
      <c r="K32" s="501">
        <v>45.55</v>
      </c>
      <c r="L32" s="501">
        <v>46.9</v>
      </c>
      <c r="M32" s="502">
        <f t="shared" si="2"/>
        <v>1.3500000000000014</v>
      </c>
      <c r="N32" s="501">
        <v>45.6</v>
      </c>
      <c r="O32" s="501">
        <v>45.6</v>
      </c>
    </row>
    <row r="33" spans="1:15" x14ac:dyDescent="0.3">
      <c r="A33" s="108" t="s">
        <v>369</v>
      </c>
      <c r="B33" s="517" t="s">
        <v>370</v>
      </c>
      <c r="C33" s="502">
        <v>286.29896759249999</v>
      </c>
      <c r="D33" s="502">
        <v>789.9</v>
      </c>
      <c r="E33" s="502">
        <f t="shared" si="0"/>
        <v>503.60103240749999</v>
      </c>
      <c r="F33" s="502">
        <v>6312</v>
      </c>
      <c r="G33" s="502">
        <v>2995.17</v>
      </c>
      <c r="H33" s="502">
        <v>1881.33</v>
      </c>
      <c r="I33" s="502">
        <f t="shared" si="1"/>
        <v>-1113.8400000000001</v>
      </c>
      <c r="J33" s="501">
        <v>3630.66</v>
      </c>
      <c r="K33" s="501">
        <v>3480.73</v>
      </c>
      <c r="L33" s="501">
        <v>2867.4</v>
      </c>
      <c r="M33" s="502">
        <f t="shared" si="2"/>
        <v>-613.32999999999993</v>
      </c>
      <c r="N33" s="501">
        <v>3480.73</v>
      </c>
      <c r="O33" s="501">
        <v>3480.73</v>
      </c>
    </row>
    <row r="34" spans="1:15" ht="26" x14ac:dyDescent="0.3">
      <c r="A34" s="108" t="s">
        <v>371</v>
      </c>
      <c r="B34" s="517" t="s">
        <v>1025</v>
      </c>
      <c r="C34" s="503">
        <v>951.54295098389855</v>
      </c>
      <c r="D34" s="502">
        <v>3576.5</v>
      </c>
      <c r="E34" s="502">
        <f t="shared" si="0"/>
        <v>2624.9570490161013</v>
      </c>
      <c r="F34" s="502">
        <v>4551</v>
      </c>
      <c r="G34" s="502">
        <v>1522.97</v>
      </c>
      <c r="H34" s="502">
        <v>2394.04</v>
      </c>
      <c r="I34" s="502">
        <f t="shared" si="1"/>
        <v>871.06999999999994</v>
      </c>
      <c r="J34" s="501">
        <v>4742.28</v>
      </c>
      <c r="K34" s="501">
        <v>1703.01</v>
      </c>
      <c r="L34" s="501">
        <v>2903.46</v>
      </c>
      <c r="M34" s="502">
        <f t="shared" si="2"/>
        <v>1200.45</v>
      </c>
      <c r="N34" s="501">
        <v>3605.18</v>
      </c>
      <c r="O34" s="501">
        <v>1700.76</v>
      </c>
    </row>
    <row r="35" spans="1:15" x14ac:dyDescent="0.3">
      <c r="A35" s="108" t="s">
        <v>373</v>
      </c>
      <c r="B35" s="517" t="s">
        <v>1026</v>
      </c>
      <c r="C35" s="501"/>
      <c r="D35" s="501"/>
      <c r="E35" s="502">
        <f t="shared" si="0"/>
        <v>0</v>
      </c>
      <c r="F35" s="502"/>
      <c r="G35" s="502"/>
      <c r="H35" s="502"/>
      <c r="I35" s="502">
        <f t="shared" si="1"/>
        <v>0</v>
      </c>
      <c r="J35" s="501"/>
      <c r="K35" s="501"/>
      <c r="L35" s="501"/>
      <c r="M35" s="502">
        <f t="shared" si="2"/>
        <v>0</v>
      </c>
      <c r="N35" s="501"/>
      <c r="O35" s="501"/>
    </row>
    <row r="36" spans="1:15" ht="10" customHeight="1" x14ac:dyDescent="0.3">
      <c r="A36" s="108" t="s">
        <v>1027</v>
      </c>
      <c r="B36" s="517" t="s">
        <v>1028</v>
      </c>
      <c r="C36" s="501"/>
      <c r="D36" s="501"/>
      <c r="E36" s="502">
        <f t="shared" si="0"/>
        <v>0</v>
      </c>
      <c r="F36" s="502"/>
      <c r="G36" s="502"/>
      <c r="H36" s="502"/>
      <c r="I36" s="502">
        <f t="shared" si="1"/>
        <v>0</v>
      </c>
      <c r="J36" s="501"/>
      <c r="K36" s="501"/>
      <c r="L36" s="501"/>
      <c r="M36" s="502">
        <f t="shared" si="2"/>
        <v>0</v>
      </c>
      <c r="N36" s="501"/>
      <c r="O36" s="501"/>
    </row>
    <row r="37" spans="1:15" x14ac:dyDescent="0.3">
      <c r="A37" s="108" t="s">
        <v>286</v>
      </c>
      <c r="B37" s="522" t="s">
        <v>374</v>
      </c>
      <c r="C37" s="505">
        <v>30749.128992977749</v>
      </c>
      <c r="D37" s="505">
        <v>38164.400000000001</v>
      </c>
      <c r="E37" s="506">
        <f t="shared" si="0"/>
        <v>7415.2710070222529</v>
      </c>
      <c r="F37" s="506">
        <v>145940</v>
      </c>
      <c r="G37" s="506">
        <v>62049.24</v>
      </c>
      <c r="H37" s="506">
        <v>58510.5</v>
      </c>
      <c r="I37" s="506">
        <f t="shared" si="1"/>
        <v>-3538.739999999998</v>
      </c>
      <c r="J37" s="507">
        <v>154523.14000000001</v>
      </c>
      <c r="K37" s="507">
        <v>69936.67</v>
      </c>
      <c r="L37" s="507">
        <f>L9+L10+L12+L15+L18+L20+L22+L23</f>
        <v>70149.55</v>
      </c>
      <c r="M37" s="506">
        <f t="shared" si="2"/>
        <v>212.88000000000466</v>
      </c>
      <c r="N37" s="507">
        <v>81792.08</v>
      </c>
      <c r="O37" s="507">
        <v>71642.350000000006</v>
      </c>
    </row>
    <row r="38" spans="1:15" x14ac:dyDescent="0.3">
      <c r="A38" s="108" t="s">
        <v>287</v>
      </c>
      <c r="B38" s="517" t="s">
        <v>375</v>
      </c>
      <c r="C38" s="501"/>
      <c r="D38" s="501"/>
      <c r="E38" s="502">
        <f t="shared" si="0"/>
        <v>0</v>
      </c>
      <c r="F38" s="502">
        <v>696.75</v>
      </c>
      <c r="G38" s="502">
        <v>2452.17</v>
      </c>
      <c r="H38" s="502"/>
      <c r="I38" s="502">
        <f t="shared" si="1"/>
        <v>-2452.17</v>
      </c>
      <c r="J38" s="501"/>
      <c r="K38" s="501">
        <v>1849.82</v>
      </c>
      <c r="L38" s="501"/>
      <c r="M38" s="502">
        <f t="shared" si="2"/>
        <v>-1849.82</v>
      </c>
      <c r="N38" s="501"/>
      <c r="O38" s="501"/>
    </row>
    <row r="39" spans="1:15" ht="24" customHeight="1" x14ac:dyDescent="0.3">
      <c r="A39" s="108" t="s">
        <v>376</v>
      </c>
      <c r="B39" s="517" t="s">
        <v>377</v>
      </c>
      <c r="C39" s="501"/>
      <c r="D39" s="501"/>
      <c r="E39" s="502">
        <f t="shared" si="0"/>
        <v>0</v>
      </c>
      <c r="F39" s="502"/>
      <c r="G39" s="502"/>
      <c r="H39" s="502"/>
      <c r="I39" s="502">
        <f t="shared" si="1"/>
        <v>0</v>
      </c>
      <c r="J39" s="501"/>
      <c r="K39" s="501"/>
      <c r="L39" s="501"/>
      <c r="M39" s="502">
        <f t="shared" si="2"/>
        <v>0</v>
      </c>
      <c r="N39" s="501"/>
      <c r="O39" s="501">
        <v>-6378.51</v>
      </c>
    </row>
    <row r="40" spans="1:15" x14ac:dyDescent="0.3">
      <c r="A40" s="108"/>
      <c r="B40" s="517"/>
      <c r="C40" s="501"/>
      <c r="D40" s="501"/>
      <c r="E40" s="502">
        <f t="shared" si="0"/>
        <v>0</v>
      </c>
      <c r="F40" s="502"/>
      <c r="G40" s="502"/>
      <c r="H40" s="502"/>
      <c r="I40" s="502">
        <f t="shared" si="1"/>
        <v>0</v>
      </c>
      <c r="J40" s="501"/>
      <c r="K40" s="501"/>
      <c r="L40" s="501"/>
      <c r="M40" s="502">
        <f t="shared" si="2"/>
        <v>0</v>
      </c>
      <c r="N40" s="501"/>
      <c r="O40" s="501"/>
    </row>
    <row r="41" spans="1:15" x14ac:dyDescent="0.3">
      <c r="A41" s="109" t="s">
        <v>378</v>
      </c>
      <c r="B41" s="517" t="s">
        <v>379</v>
      </c>
      <c r="C41" s="505">
        <v>30749.128992977749</v>
      </c>
      <c r="D41" s="505">
        <v>38164.400000000001</v>
      </c>
      <c r="E41" s="506">
        <f t="shared" si="0"/>
        <v>7415.2710070222529</v>
      </c>
      <c r="F41" s="506">
        <v>146636.79999999999</v>
      </c>
      <c r="G41" s="506">
        <v>64501.41</v>
      </c>
      <c r="H41" s="506">
        <v>58510.5</v>
      </c>
      <c r="I41" s="506">
        <f t="shared" si="1"/>
        <v>-5990.9100000000035</v>
      </c>
      <c r="J41" s="507">
        <v>154523.14000000001</v>
      </c>
      <c r="K41" s="507">
        <v>71786.490000000005</v>
      </c>
      <c r="L41" s="507">
        <f>L37+L38</f>
        <v>70149.55</v>
      </c>
      <c r="M41" s="506">
        <f t="shared" si="2"/>
        <v>-1636.9400000000023</v>
      </c>
      <c r="N41" s="507">
        <v>81792.08</v>
      </c>
      <c r="O41" s="507">
        <v>65263.85</v>
      </c>
    </row>
    <row r="42" spans="1:15" x14ac:dyDescent="0.3">
      <c r="A42" s="108"/>
      <c r="B42" s="517" t="s">
        <v>380</v>
      </c>
      <c r="C42" s="501"/>
      <c r="D42" s="501"/>
      <c r="E42" s="502">
        <f t="shared" si="0"/>
        <v>0</v>
      </c>
      <c r="F42" s="502"/>
      <c r="G42" s="502"/>
      <c r="H42" s="502"/>
      <c r="I42" s="502">
        <f t="shared" si="1"/>
        <v>0</v>
      </c>
      <c r="J42" s="501"/>
      <c r="K42" s="501"/>
      <c r="L42" s="501"/>
      <c r="M42" s="501"/>
      <c r="N42" s="501"/>
      <c r="O42" s="501"/>
    </row>
    <row r="43" spans="1:15" x14ac:dyDescent="0.3">
      <c r="A43" s="110" t="s">
        <v>381</v>
      </c>
      <c r="B43" s="517" t="s">
        <v>382</v>
      </c>
      <c r="C43" s="501"/>
      <c r="D43" s="501"/>
      <c r="E43" s="502">
        <f t="shared" si="0"/>
        <v>0</v>
      </c>
      <c r="F43" s="502"/>
      <c r="G43" s="502"/>
      <c r="H43" s="502"/>
      <c r="I43" s="502">
        <f t="shared" si="1"/>
        <v>0</v>
      </c>
      <c r="J43" s="501"/>
      <c r="K43" s="501"/>
      <c r="L43" s="501"/>
      <c r="M43" s="501"/>
      <c r="N43" s="501"/>
      <c r="O43" s="501"/>
    </row>
    <row r="44" spans="1:15" x14ac:dyDescent="0.3">
      <c r="A44" s="110" t="s">
        <v>383</v>
      </c>
      <c r="B44" s="517" t="s">
        <v>384</v>
      </c>
      <c r="C44" s="501"/>
      <c r="D44" s="501"/>
      <c r="E44" s="502">
        <f t="shared" si="0"/>
        <v>0</v>
      </c>
      <c r="F44" s="502"/>
      <c r="G44" s="502"/>
      <c r="H44" s="502"/>
      <c r="I44" s="502">
        <f t="shared" si="1"/>
        <v>0</v>
      </c>
      <c r="J44" s="501"/>
      <c r="K44" s="501"/>
      <c r="L44" s="501"/>
      <c r="M44" s="501"/>
      <c r="N44" s="501"/>
      <c r="O44" s="501"/>
    </row>
    <row r="45" spans="1:15" x14ac:dyDescent="0.3">
      <c r="A45" s="110" t="s">
        <v>385</v>
      </c>
      <c r="B45" s="517" t="s">
        <v>386</v>
      </c>
      <c r="C45" s="501"/>
      <c r="D45" s="501"/>
      <c r="E45" s="502">
        <f t="shared" si="0"/>
        <v>0</v>
      </c>
      <c r="F45" s="502"/>
      <c r="G45" s="502"/>
      <c r="H45" s="502"/>
      <c r="I45" s="502">
        <f t="shared" si="1"/>
        <v>0</v>
      </c>
      <c r="J45" s="501"/>
      <c r="K45" s="501"/>
      <c r="L45" s="501"/>
      <c r="M45" s="501"/>
      <c r="N45" s="501"/>
      <c r="O45" s="501"/>
    </row>
    <row r="46" spans="1:15" x14ac:dyDescent="0.3">
      <c r="A46" s="110" t="s">
        <v>387</v>
      </c>
      <c r="B46" s="517" t="s">
        <v>388</v>
      </c>
      <c r="C46" s="501"/>
      <c r="D46" s="501"/>
      <c r="E46" s="502">
        <f t="shared" si="0"/>
        <v>0</v>
      </c>
      <c r="F46" s="502"/>
      <c r="G46" s="502"/>
      <c r="H46" s="502"/>
      <c r="I46" s="502">
        <f t="shared" si="1"/>
        <v>0</v>
      </c>
      <c r="J46" s="501"/>
      <c r="K46" s="501"/>
      <c r="L46" s="501"/>
      <c r="M46" s="501"/>
      <c r="N46" s="501"/>
      <c r="O46" s="501"/>
    </row>
    <row r="47" spans="1:15" x14ac:dyDescent="0.3">
      <c r="A47" s="108" t="s">
        <v>389</v>
      </c>
      <c r="B47" s="517" t="s">
        <v>390</v>
      </c>
      <c r="C47" s="501"/>
      <c r="D47" s="501"/>
      <c r="E47" s="502">
        <f t="shared" si="0"/>
        <v>0</v>
      </c>
      <c r="F47" s="502"/>
      <c r="G47" s="502"/>
      <c r="H47" s="502"/>
      <c r="I47" s="502">
        <f t="shared" si="1"/>
        <v>0</v>
      </c>
      <c r="J47" s="501"/>
      <c r="K47" s="501"/>
      <c r="L47" s="501"/>
      <c r="M47" s="501"/>
      <c r="N47" s="501"/>
      <c r="O47" s="501"/>
    </row>
    <row r="48" spans="1:15" x14ac:dyDescent="0.3">
      <c r="A48" s="110" t="s">
        <v>391</v>
      </c>
      <c r="B48" s="517" t="s">
        <v>392</v>
      </c>
      <c r="C48" s="501"/>
      <c r="D48" s="501"/>
      <c r="E48" s="502">
        <f t="shared" si="0"/>
        <v>0</v>
      </c>
      <c r="F48" s="502"/>
      <c r="G48" s="502"/>
      <c r="H48" s="502"/>
      <c r="I48" s="502">
        <f t="shared" si="1"/>
        <v>0</v>
      </c>
      <c r="J48" s="501"/>
      <c r="K48" s="501"/>
      <c r="L48" s="501"/>
      <c r="M48" s="501"/>
      <c r="N48" s="501"/>
      <c r="O48" s="501"/>
    </row>
    <row r="49" spans="1:15" x14ac:dyDescent="0.3">
      <c r="A49" s="110" t="s">
        <v>393</v>
      </c>
      <c r="B49" s="517" t="s">
        <v>394</v>
      </c>
      <c r="C49" s="501"/>
      <c r="D49" s="501"/>
      <c r="E49" s="502">
        <f t="shared" si="0"/>
        <v>0</v>
      </c>
      <c r="F49" s="502"/>
      <c r="G49" s="502"/>
      <c r="H49" s="502"/>
      <c r="I49" s="502">
        <f t="shared" si="1"/>
        <v>0</v>
      </c>
      <c r="J49" s="501"/>
      <c r="K49" s="501"/>
      <c r="L49" s="501"/>
      <c r="M49" s="501"/>
      <c r="N49" s="501"/>
      <c r="O49" s="501"/>
    </row>
    <row r="50" spans="1:15" x14ac:dyDescent="0.3">
      <c r="A50" s="110" t="s">
        <v>395</v>
      </c>
      <c r="B50" s="517" t="s">
        <v>396</v>
      </c>
      <c r="C50" s="501"/>
      <c r="D50" s="501"/>
      <c r="E50" s="502">
        <f t="shared" si="0"/>
        <v>0</v>
      </c>
      <c r="F50" s="502"/>
      <c r="G50" s="502"/>
      <c r="H50" s="502"/>
      <c r="I50" s="502">
        <f t="shared" si="1"/>
        <v>0</v>
      </c>
      <c r="J50" s="501"/>
      <c r="K50" s="501"/>
      <c r="L50" s="501"/>
      <c r="M50" s="501"/>
      <c r="N50" s="501"/>
      <c r="O50" s="501"/>
    </row>
    <row r="51" spans="1:15" x14ac:dyDescent="0.3">
      <c r="A51" s="108" t="s">
        <v>397</v>
      </c>
      <c r="B51" s="517" t="s">
        <v>398</v>
      </c>
      <c r="C51" s="501"/>
      <c r="D51" s="501"/>
      <c r="E51" s="502">
        <f t="shared" si="0"/>
        <v>0</v>
      </c>
      <c r="F51" s="502"/>
      <c r="G51" s="502"/>
      <c r="H51" s="502"/>
      <c r="I51" s="502">
        <f t="shared" si="1"/>
        <v>0</v>
      </c>
      <c r="J51" s="501"/>
      <c r="K51" s="501"/>
      <c r="L51" s="501"/>
      <c r="M51" s="501"/>
      <c r="N51" s="501"/>
      <c r="O51" s="501"/>
    </row>
    <row r="52" spans="1:15" x14ac:dyDescent="0.3">
      <c r="A52" s="612"/>
      <c r="B52" s="523" t="s">
        <v>399</v>
      </c>
      <c r="C52" s="505">
        <v>187.37187392541315</v>
      </c>
      <c r="D52" s="505">
        <v>35</v>
      </c>
      <c r="E52" s="506">
        <f t="shared" si="0"/>
        <v>-152.37187392541315</v>
      </c>
      <c r="F52" s="506">
        <v>14240</v>
      </c>
      <c r="G52" s="506">
        <v>231.15</v>
      </c>
      <c r="H52" s="506">
        <v>119.6</v>
      </c>
      <c r="I52" s="506">
        <f t="shared" si="1"/>
        <v>-111.55000000000001</v>
      </c>
      <c r="J52" s="507">
        <v>28522</v>
      </c>
      <c r="K52" s="507">
        <v>7760.04</v>
      </c>
      <c r="L52" s="507">
        <v>97.84</v>
      </c>
      <c r="M52" s="506">
        <f t="shared" ref="M52:M53" si="3">L52-K52</f>
        <v>-7662.2</v>
      </c>
      <c r="N52" s="507">
        <v>8274.01</v>
      </c>
      <c r="O52" s="507">
        <v>8587.8799999999992</v>
      </c>
    </row>
    <row r="53" spans="1:15" x14ac:dyDescent="0.3">
      <c r="A53" s="524"/>
      <c r="B53" s="522" t="s">
        <v>401</v>
      </c>
      <c r="C53" s="505">
        <v>30936.500866903163</v>
      </c>
      <c r="D53" s="505">
        <f>D41+D52</f>
        <v>38199.4</v>
      </c>
      <c r="E53" s="506">
        <f t="shared" si="0"/>
        <v>7262.8991330968383</v>
      </c>
      <c r="F53" s="506">
        <v>160876.79999999999</v>
      </c>
      <c r="G53" s="506">
        <v>64732.56</v>
      </c>
      <c r="H53" s="506">
        <v>58630.1</v>
      </c>
      <c r="I53" s="506">
        <f t="shared" si="1"/>
        <v>-6102.4599999999991</v>
      </c>
      <c r="J53" s="507">
        <v>183045.14</v>
      </c>
      <c r="K53" s="507">
        <v>79546.53</v>
      </c>
      <c r="L53" s="507">
        <f>L41+L52</f>
        <v>70247.39</v>
      </c>
      <c r="M53" s="506">
        <f t="shared" si="3"/>
        <v>-9299.14</v>
      </c>
      <c r="N53" s="507">
        <v>90066.09</v>
      </c>
      <c r="O53" s="507">
        <v>73851.73</v>
      </c>
    </row>
    <row r="54" spans="1:15" x14ac:dyDescent="0.3">
      <c r="B54" s="508"/>
      <c r="C54" s="509"/>
      <c r="D54" s="509"/>
      <c r="E54" s="509"/>
    </row>
    <row r="57" spans="1:15" x14ac:dyDescent="0.3">
      <c r="A57" s="44" t="s">
        <v>10</v>
      </c>
      <c r="C57" s="44" t="s">
        <v>963</v>
      </c>
    </row>
  </sheetData>
  <mergeCells count="10">
    <mergeCell ref="A3:C3"/>
    <mergeCell ref="A6:A7"/>
    <mergeCell ref="B6:B7"/>
    <mergeCell ref="F6:G6"/>
    <mergeCell ref="N6:O6"/>
    <mergeCell ref="M6:M7"/>
    <mergeCell ref="I6:I7"/>
    <mergeCell ref="H6:H7"/>
    <mergeCell ref="J6:K6"/>
    <mergeCell ref="L6:L7"/>
  </mergeCells>
  <pageMargins left="0.70866141732283472" right="0.70866141732283472" top="0.19685039370078741" bottom="0.15748031496062992" header="0.31496062992125984" footer="0.31496062992125984"/>
  <pageSetup paperSize="9"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35" workbookViewId="0">
      <selection activeCell="A108" sqref="A108:E150"/>
    </sheetView>
  </sheetViews>
  <sheetFormatPr defaultColWidth="9.1796875" defaultRowHeight="13" x14ac:dyDescent="0.3"/>
  <cols>
    <col min="1" max="1" width="10.6328125" style="44" customWidth="1"/>
    <col min="2" max="2" width="40.54296875" style="44" customWidth="1"/>
    <col min="3" max="3" width="11.54296875" style="44" customWidth="1"/>
    <col min="4" max="4" width="11.6328125" style="44" customWidth="1"/>
    <col min="5" max="5" width="12.7265625" style="44" customWidth="1"/>
    <col min="6" max="253" width="9.1796875" style="44"/>
    <col min="254" max="254" width="6.453125" style="44" customWidth="1"/>
    <col min="255" max="255" width="47.81640625" style="44" customWidth="1"/>
    <col min="256" max="256" width="12.7265625" style="44" customWidth="1"/>
    <col min="257" max="257" width="14.453125" style="44" customWidth="1"/>
    <col min="258" max="258" width="12.1796875" style="44" customWidth="1"/>
    <col min="259" max="260" width="11.81640625" style="44" customWidth="1"/>
    <col min="261" max="509" width="9.1796875" style="44"/>
    <col min="510" max="510" width="6.453125" style="44" customWidth="1"/>
    <col min="511" max="511" width="47.81640625" style="44" customWidth="1"/>
    <col min="512" max="512" width="12.7265625" style="44" customWidth="1"/>
    <col min="513" max="513" width="14.453125" style="44" customWidth="1"/>
    <col min="514" max="514" width="12.1796875" style="44" customWidth="1"/>
    <col min="515" max="516" width="11.81640625" style="44" customWidth="1"/>
    <col min="517" max="765" width="9.1796875" style="44"/>
    <col min="766" max="766" width="6.453125" style="44" customWidth="1"/>
    <col min="767" max="767" width="47.81640625" style="44" customWidth="1"/>
    <col min="768" max="768" width="12.7265625" style="44" customWidth="1"/>
    <col min="769" max="769" width="14.453125" style="44" customWidth="1"/>
    <col min="770" max="770" width="12.1796875" style="44" customWidth="1"/>
    <col min="771" max="772" width="11.81640625" style="44" customWidth="1"/>
    <col min="773" max="1021" width="9.1796875" style="44"/>
    <col min="1022" max="1022" width="6.453125" style="44" customWidth="1"/>
    <col min="1023" max="1023" width="47.81640625" style="44" customWidth="1"/>
    <col min="1024" max="1024" width="12.7265625" style="44" customWidth="1"/>
    <col min="1025" max="1025" width="14.453125" style="44" customWidth="1"/>
    <col min="1026" max="1026" width="12.1796875" style="44" customWidth="1"/>
    <col min="1027" max="1028" width="11.81640625" style="44" customWidth="1"/>
    <col min="1029" max="1277" width="9.1796875" style="44"/>
    <col min="1278" max="1278" width="6.453125" style="44" customWidth="1"/>
    <col min="1279" max="1279" width="47.81640625" style="44" customWidth="1"/>
    <col min="1280" max="1280" width="12.7265625" style="44" customWidth="1"/>
    <col min="1281" max="1281" width="14.453125" style="44" customWidth="1"/>
    <col min="1282" max="1282" width="12.1796875" style="44" customWidth="1"/>
    <col min="1283" max="1284" width="11.81640625" style="44" customWidth="1"/>
    <col min="1285" max="1533" width="9.1796875" style="44"/>
    <col min="1534" max="1534" width="6.453125" style="44" customWidth="1"/>
    <col min="1535" max="1535" width="47.81640625" style="44" customWidth="1"/>
    <col min="1536" max="1536" width="12.7265625" style="44" customWidth="1"/>
    <col min="1537" max="1537" width="14.453125" style="44" customWidth="1"/>
    <col min="1538" max="1538" width="12.1796875" style="44" customWidth="1"/>
    <col min="1539" max="1540" width="11.81640625" style="44" customWidth="1"/>
    <col min="1541" max="1789" width="9.1796875" style="44"/>
    <col min="1790" max="1790" width="6.453125" style="44" customWidth="1"/>
    <col min="1791" max="1791" width="47.81640625" style="44" customWidth="1"/>
    <col min="1792" max="1792" width="12.7265625" style="44" customWidth="1"/>
    <col min="1793" max="1793" width="14.453125" style="44" customWidth="1"/>
    <col min="1794" max="1794" width="12.1796875" style="44" customWidth="1"/>
    <col min="1795" max="1796" width="11.81640625" style="44" customWidth="1"/>
    <col min="1797" max="2045" width="9.1796875" style="44"/>
    <col min="2046" max="2046" width="6.453125" style="44" customWidth="1"/>
    <col min="2047" max="2047" width="47.81640625" style="44" customWidth="1"/>
    <col min="2048" max="2048" width="12.7265625" style="44" customWidth="1"/>
    <col min="2049" max="2049" width="14.453125" style="44" customWidth="1"/>
    <col min="2050" max="2050" width="12.1796875" style="44" customWidth="1"/>
    <col min="2051" max="2052" width="11.81640625" style="44" customWidth="1"/>
    <col min="2053" max="2301" width="9.1796875" style="44"/>
    <col min="2302" max="2302" width="6.453125" style="44" customWidth="1"/>
    <col min="2303" max="2303" width="47.81640625" style="44" customWidth="1"/>
    <col min="2304" max="2304" width="12.7265625" style="44" customWidth="1"/>
    <col min="2305" max="2305" width="14.453125" style="44" customWidth="1"/>
    <col min="2306" max="2306" width="12.1796875" style="44" customWidth="1"/>
    <col min="2307" max="2308" width="11.81640625" style="44" customWidth="1"/>
    <col min="2309" max="2557" width="9.1796875" style="44"/>
    <col min="2558" max="2558" width="6.453125" style="44" customWidth="1"/>
    <col min="2559" max="2559" width="47.81640625" style="44" customWidth="1"/>
    <col min="2560" max="2560" width="12.7265625" style="44" customWidth="1"/>
    <col min="2561" max="2561" width="14.453125" style="44" customWidth="1"/>
    <col min="2562" max="2562" width="12.1796875" style="44" customWidth="1"/>
    <col min="2563" max="2564" width="11.81640625" style="44" customWidth="1"/>
    <col min="2565" max="2813" width="9.1796875" style="44"/>
    <col min="2814" max="2814" width="6.453125" style="44" customWidth="1"/>
    <col min="2815" max="2815" width="47.81640625" style="44" customWidth="1"/>
    <col min="2816" max="2816" width="12.7265625" style="44" customWidth="1"/>
    <col min="2817" max="2817" width="14.453125" style="44" customWidth="1"/>
    <col min="2818" max="2818" width="12.1796875" style="44" customWidth="1"/>
    <col min="2819" max="2820" width="11.81640625" style="44" customWidth="1"/>
    <col min="2821" max="3069" width="9.1796875" style="44"/>
    <col min="3070" max="3070" width="6.453125" style="44" customWidth="1"/>
    <col min="3071" max="3071" width="47.81640625" style="44" customWidth="1"/>
    <col min="3072" max="3072" width="12.7265625" style="44" customWidth="1"/>
    <col min="3073" max="3073" width="14.453125" style="44" customWidth="1"/>
    <col min="3074" max="3074" width="12.1796875" style="44" customWidth="1"/>
    <col min="3075" max="3076" width="11.81640625" style="44" customWidth="1"/>
    <col min="3077" max="3325" width="9.1796875" style="44"/>
    <col min="3326" max="3326" width="6.453125" style="44" customWidth="1"/>
    <col min="3327" max="3327" width="47.81640625" style="44" customWidth="1"/>
    <col min="3328" max="3328" width="12.7265625" style="44" customWidth="1"/>
    <col min="3329" max="3329" width="14.453125" style="44" customWidth="1"/>
    <col min="3330" max="3330" width="12.1796875" style="44" customWidth="1"/>
    <col min="3331" max="3332" width="11.81640625" style="44" customWidth="1"/>
    <col min="3333" max="3581" width="9.1796875" style="44"/>
    <col min="3582" max="3582" width="6.453125" style="44" customWidth="1"/>
    <col min="3583" max="3583" width="47.81640625" style="44" customWidth="1"/>
    <col min="3584" max="3584" width="12.7265625" style="44" customWidth="1"/>
    <col min="3585" max="3585" width="14.453125" style="44" customWidth="1"/>
    <col min="3586" max="3586" width="12.1796875" style="44" customWidth="1"/>
    <col min="3587" max="3588" width="11.81640625" style="44" customWidth="1"/>
    <col min="3589" max="3837" width="9.1796875" style="44"/>
    <col min="3838" max="3838" width="6.453125" style="44" customWidth="1"/>
    <col min="3839" max="3839" width="47.81640625" style="44" customWidth="1"/>
    <col min="3840" max="3840" width="12.7265625" style="44" customWidth="1"/>
    <col min="3841" max="3841" width="14.453125" style="44" customWidth="1"/>
    <col min="3842" max="3842" width="12.1796875" style="44" customWidth="1"/>
    <col min="3843" max="3844" width="11.81640625" style="44" customWidth="1"/>
    <col min="3845" max="4093" width="9.1796875" style="44"/>
    <col min="4094" max="4094" width="6.453125" style="44" customWidth="1"/>
    <col min="4095" max="4095" width="47.81640625" style="44" customWidth="1"/>
    <col min="4096" max="4096" width="12.7265625" style="44" customWidth="1"/>
    <col min="4097" max="4097" width="14.453125" style="44" customWidth="1"/>
    <col min="4098" max="4098" width="12.1796875" style="44" customWidth="1"/>
    <col min="4099" max="4100" width="11.81640625" style="44" customWidth="1"/>
    <col min="4101" max="4349" width="9.1796875" style="44"/>
    <col min="4350" max="4350" width="6.453125" style="44" customWidth="1"/>
    <col min="4351" max="4351" width="47.81640625" style="44" customWidth="1"/>
    <col min="4352" max="4352" width="12.7265625" style="44" customWidth="1"/>
    <col min="4353" max="4353" width="14.453125" style="44" customWidth="1"/>
    <col min="4354" max="4354" width="12.1796875" style="44" customWidth="1"/>
    <col min="4355" max="4356" width="11.81640625" style="44" customWidth="1"/>
    <col min="4357" max="4605" width="9.1796875" style="44"/>
    <col min="4606" max="4606" width="6.453125" style="44" customWidth="1"/>
    <col min="4607" max="4607" width="47.81640625" style="44" customWidth="1"/>
    <col min="4608" max="4608" width="12.7265625" style="44" customWidth="1"/>
    <col min="4609" max="4609" width="14.453125" style="44" customWidth="1"/>
    <col min="4610" max="4610" width="12.1796875" style="44" customWidth="1"/>
    <col min="4611" max="4612" width="11.81640625" style="44" customWidth="1"/>
    <col min="4613" max="4861" width="9.1796875" style="44"/>
    <col min="4862" max="4862" width="6.453125" style="44" customWidth="1"/>
    <col min="4863" max="4863" width="47.81640625" style="44" customWidth="1"/>
    <col min="4864" max="4864" width="12.7265625" style="44" customWidth="1"/>
    <col min="4865" max="4865" width="14.453125" style="44" customWidth="1"/>
    <col min="4866" max="4866" width="12.1796875" style="44" customWidth="1"/>
    <col min="4867" max="4868" width="11.81640625" style="44" customWidth="1"/>
    <col min="4869" max="5117" width="9.1796875" style="44"/>
    <col min="5118" max="5118" width="6.453125" style="44" customWidth="1"/>
    <col min="5119" max="5119" width="47.81640625" style="44" customWidth="1"/>
    <col min="5120" max="5120" width="12.7265625" style="44" customWidth="1"/>
    <col min="5121" max="5121" width="14.453125" style="44" customWidth="1"/>
    <col min="5122" max="5122" width="12.1796875" style="44" customWidth="1"/>
    <col min="5123" max="5124" width="11.81640625" style="44" customWidth="1"/>
    <col min="5125" max="5373" width="9.1796875" style="44"/>
    <col min="5374" max="5374" width="6.453125" style="44" customWidth="1"/>
    <col min="5375" max="5375" width="47.81640625" style="44" customWidth="1"/>
    <col min="5376" max="5376" width="12.7265625" style="44" customWidth="1"/>
    <col min="5377" max="5377" width="14.453125" style="44" customWidth="1"/>
    <col min="5378" max="5378" width="12.1796875" style="44" customWidth="1"/>
    <col min="5379" max="5380" width="11.81640625" style="44" customWidth="1"/>
    <col min="5381" max="5629" width="9.1796875" style="44"/>
    <col min="5630" max="5630" width="6.453125" style="44" customWidth="1"/>
    <col min="5631" max="5631" width="47.81640625" style="44" customWidth="1"/>
    <col min="5632" max="5632" width="12.7265625" style="44" customWidth="1"/>
    <col min="5633" max="5633" width="14.453125" style="44" customWidth="1"/>
    <col min="5634" max="5634" width="12.1796875" style="44" customWidth="1"/>
    <col min="5635" max="5636" width="11.81640625" style="44" customWidth="1"/>
    <col min="5637" max="5885" width="9.1796875" style="44"/>
    <col min="5886" max="5886" width="6.453125" style="44" customWidth="1"/>
    <col min="5887" max="5887" width="47.81640625" style="44" customWidth="1"/>
    <col min="5888" max="5888" width="12.7265625" style="44" customWidth="1"/>
    <col min="5889" max="5889" width="14.453125" style="44" customWidth="1"/>
    <col min="5890" max="5890" width="12.1796875" style="44" customWidth="1"/>
    <col min="5891" max="5892" width="11.81640625" style="44" customWidth="1"/>
    <col min="5893" max="6141" width="9.1796875" style="44"/>
    <col min="6142" max="6142" width="6.453125" style="44" customWidth="1"/>
    <col min="6143" max="6143" width="47.81640625" style="44" customWidth="1"/>
    <col min="6144" max="6144" width="12.7265625" style="44" customWidth="1"/>
    <col min="6145" max="6145" width="14.453125" style="44" customWidth="1"/>
    <col min="6146" max="6146" width="12.1796875" style="44" customWidth="1"/>
    <col min="6147" max="6148" width="11.81640625" style="44" customWidth="1"/>
    <col min="6149" max="6397" width="9.1796875" style="44"/>
    <col min="6398" max="6398" width="6.453125" style="44" customWidth="1"/>
    <col min="6399" max="6399" width="47.81640625" style="44" customWidth="1"/>
    <col min="6400" max="6400" width="12.7265625" style="44" customWidth="1"/>
    <col min="6401" max="6401" width="14.453125" style="44" customWidth="1"/>
    <col min="6402" max="6402" width="12.1796875" style="44" customWidth="1"/>
    <col min="6403" max="6404" width="11.81640625" style="44" customWidth="1"/>
    <col min="6405" max="6653" width="9.1796875" style="44"/>
    <col min="6654" max="6654" width="6.453125" style="44" customWidth="1"/>
    <col min="6655" max="6655" width="47.81640625" style="44" customWidth="1"/>
    <col min="6656" max="6656" width="12.7265625" style="44" customWidth="1"/>
    <col min="6657" max="6657" width="14.453125" style="44" customWidth="1"/>
    <col min="6658" max="6658" width="12.1796875" style="44" customWidth="1"/>
    <col min="6659" max="6660" width="11.81640625" style="44" customWidth="1"/>
    <col min="6661" max="6909" width="9.1796875" style="44"/>
    <col min="6910" max="6910" width="6.453125" style="44" customWidth="1"/>
    <col min="6911" max="6911" width="47.81640625" style="44" customWidth="1"/>
    <col min="6912" max="6912" width="12.7265625" style="44" customWidth="1"/>
    <col min="6913" max="6913" width="14.453125" style="44" customWidth="1"/>
    <col min="6914" max="6914" width="12.1796875" style="44" customWidth="1"/>
    <col min="6915" max="6916" width="11.81640625" style="44" customWidth="1"/>
    <col min="6917" max="7165" width="9.1796875" style="44"/>
    <col min="7166" max="7166" width="6.453125" style="44" customWidth="1"/>
    <col min="7167" max="7167" width="47.81640625" style="44" customWidth="1"/>
    <col min="7168" max="7168" width="12.7265625" style="44" customWidth="1"/>
    <col min="7169" max="7169" width="14.453125" style="44" customWidth="1"/>
    <col min="7170" max="7170" width="12.1796875" style="44" customWidth="1"/>
    <col min="7171" max="7172" width="11.81640625" style="44" customWidth="1"/>
    <col min="7173" max="7421" width="9.1796875" style="44"/>
    <col min="7422" max="7422" width="6.453125" style="44" customWidth="1"/>
    <col min="7423" max="7423" width="47.81640625" style="44" customWidth="1"/>
    <col min="7424" max="7424" width="12.7265625" style="44" customWidth="1"/>
    <col min="7425" max="7425" width="14.453125" style="44" customWidth="1"/>
    <col min="7426" max="7426" width="12.1796875" style="44" customWidth="1"/>
    <col min="7427" max="7428" width="11.81640625" style="44" customWidth="1"/>
    <col min="7429" max="7677" width="9.1796875" style="44"/>
    <col min="7678" max="7678" width="6.453125" style="44" customWidth="1"/>
    <col min="7679" max="7679" width="47.81640625" style="44" customWidth="1"/>
    <col min="7680" max="7680" width="12.7265625" style="44" customWidth="1"/>
    <col min="7681" max="7681" width="14.453125" style="44" customWidth="1"/>
    <col min="7682" max="7682" width="12.1796875" style="44" customWidth="1"/>
    <col min="7683" max="7684" width="11.81640625" style="44" customWidth="1"/>
    <col min="7685" max="7933" width="9.1796875" style="44"/>
    <col min="7934" max="7934" width="6.453125" style="44" customWidth="1"/>
    <col min="7935" max="7935" width="47.81640625" style="44" customWidth="1"/>
    <col min="7936" max="7936" width="12.7265625" style="44" customWidth="1"/>
    <col min="7937" max="7937" width="14.453125" style="44" customWidth="1"/>
    <col min="7938" max="7938" width="12.1796875" style="44" customWidth="1"/>
    <col min="7939" max="7940" width="11.81640625" style="44" customWidth="1"/>
    <col min="7941" max="8189" width="9.1796875" style="44"/>
    <col min="8190" max="8190" width="6.453125" style="44" customWidth="1"/>
    <col min="8191" max="8191" width="47.81640625" style="44" customWidth="1"/>
    <col min="8192" max="8192" width="12.7265625" style="44" customWidth="1"/>
    <col min="8193" max="8193" width="14.453125" style="44" customWidth="1"/>
    <col min="8194" max="8194" width="12.1796875" style="44" customWidth="1"/>
    <col min="8195" max="8196" width="11.81640625" style="44" customWidth="1"/>
    <col min="8197" max="8445" width="9.1796875" style="44"/>
    <col min="8446" max="8446" width="6.453125" style="44" customWidth="1"/>
    <col min="8447" max="8447" width="47.81640625" style="44" customWidth="1"/>
    <col min="8448" max="8448" width="12.7265625" style="44" customWidth="1"/>
    <col min="8449" max="8449" width="14.453125" style="44" customWidth="1"/>
    <col min="8450" max="8450" width="12.1796875" style="44" customWidth="1"/>
    <col min="8451" max="8452" width="11.81640625" style="44" customWidth="1"/>
    <col min="8453" max="8701" width="9.1796875" style="44"/>
    <col min="8702" max="8702" width="6.453125" style="44" customWidth="1"/>
    <col min="8703" max="8703" width="47.81640625" style="44" customWidth="1"/>
    <col min="8704" max="8704" width="12.7265625" style="44" customWidth="1"/>
    <col min="8705" max="8705" width="14.453125" style="44" customWidth="1"/>
    <col min="8706" max="8706" width="12.1796875" style="44" customWidth="1"/>
    <col min="8707" max="8708" width="11.81640625" style="44" customWidth="1"/>
    <col min="8709" max="8957" width="9.1796875" style="44"/>
    <col min="8958" max="8958" width="6.453125" style="44" customWidth="1"/>
    <col min="8959" max="8959" width="47.81640625" style="44" customWidth="1"/>
    <col min="8960" max="8960" width="12.7265625" style="44" customWidth="1"/>
    <col min="8961" max="8961" width="14.453125" style="44" customWidth="1"/>
    <col min="8962" max="8962" width="12.1796875" style="44" customWidth="1"/>
    <col min="8963" max="8964" width="11.81640625" style="44" customWidth="1"/>
    <col min="8965" max="9213" width="9.1796875" style="44"/>
    <col min="9214" max="9214" width="6.453125" style="44" customWidth="1"/>
    <col min="9215" max="9215" width="47.81640625" style="44" customWidth="1"/>
    <col min="9216" max="9216" width="12.7265625" style="44" customWidth="1"/>
    <col min="9217" max="9217" width="14.453125" style="44" customWidth="1"/>
    <col min="9218" max="9218" width="12.1796875" style="44" customWidth="1"/>
    <col min="9219" max="9220" width="11.81640625" style="44" customWidth="1"/>
    <col min="9221" max="9469" width="9.1796875" style="44"/>
    <col min="9470" max="9470" width="6.453125" style="44" customWidth="1"/>
    <col min="9471" max="9471" width="47.81640625" style="44" customWidth="1"/>
    <col min="9472" max="9472" width="12.7265625" style="44" customWidth="1"/>
    <col min="9473" max="9473" width="14.453125" style="44" customWidth="1"/>
    <col min="9474" max="9474" width="12.1796875" style="44" customWidth="1"/>
    <col min="9475" max="9476" width="11.81640625" style="44" customWidth="1"/>
    <col min="9477" max="9725" width="9.1796875" style="44"/>
    <col min="9726" max="9726" width="6.453125" style="44" customWidth="1"/>
    <col min="9727" max="9727" width="47.81640625" style="44" customWidth="1"/>
    <col min="9728" max="9728" width="12.7265625" style="44" customWidth="1"/>
    <col min="9729" max="9729" width="14.453125" style="44" customWidth="1"/>
    <col min="9730" max="9730" width="12.1796875" style="44" customWidth="1"/>
    <col min="9731" max="9732" width="11.81640625" style="44" customWidth="1"/>
    <col min="9733" max="9981" width="9.1796875" style="44"/>
    <col min="9982" max="9982" width="6.453125" style="44" customWidth="1"/>
    <col min="9983" max="9983" width="47.81640625" style="44" customWidth="1"/>
    <col min="9984" max="9984" width="12.7265625" style="44" customWidth="1"/>
    <col min="9985" max="9985" width="14.453125" style="44" customWidth="1"/>
    <col min="9986" max="9986" width="12.1796875" style="44" customWidth="1"/>
    <col min="9987" max="9988" width="11.81640625" style="44" customWidth="1"/>
    <col min="9989" max="10237" width="9.1796875" style="44"/>
    <col min="10238" max="10238" width="6.453125" style="44" customWidth="1"/>
    <col min="10239" max="10239" width="47.81640625" style="44" customWidth="1"/>
    <col min="10240" max="10240" width="12.7265625" style="44" customWidth="1"/>
    <col min="10241" max="10241" width="14.453125" style="44" customWidth="1"/>
    <col min="10242" max="10242" width="12.1796875" style="44" customWidth="1"/>
    <col min="10243" max="10244" width="11.81640625" style="44" customWidth="1"/>
    <col min="10245" max="10493" width="9.1796875" style="44"/>
    <col min="10494" max="10494" width="6.453125" style="44" customWidth="1"/>
    <col min="10495" max="10495" width="47.81640625" style="44" customWidth="1"/>
    <col min="10496" max="10496" width="12.7265625" style="44" customWidth="1"/>
    <col min="10497" max="10497" width="14.453125" style="44" customWidth="1"/>
    <col min="10498" max="10498" width="12.1796875" style="44" customWidth="1"/>
    <col min="10499" max="10500" width="11.81640625" style="44" customWidth="1"/>
    <col min="10501" max="10749" width="9.1796875" style="44"/>
    <col min="10750" max="10750" width="6.453125" style="44" customWidth="1"/>
    <col min="10751" max="10751" width="47.81640625" style="44" customWidth="1"/>
    <col min="10752" max="10752" width="12.7265625" style="44" customWidth="1"/>
    <col min="10753" max="10753" width="14.453125" style="44" customWidth="1"/>
    <col min="10754" max="10754" width="12.1796875" style="44" customWidth="1"/>
    <col min="10755" max="10756" width="11.81640625" style="44" customWidth="1"/>
    <col min="10757" max="11005" width="9.1796875" style="44"/>
    <col min="11006" max="11006" width="6.453125" style="44" customWidth="1"/>
    <col min="11007" max="11007" width="47.81640625" style="44" customWidth="1"/>
    <col min="11008" max="11008" width="12.7265625" style="44" customWidth="1"/>
    <col min="11009" max="11009" width="14.453125" style="44" customWidth="1"/>
    <col min="11010" max="11010" width="12.1796875" style="44" customWidth="1"/>
    <col min="11011" max="11012" width="11.81640625" style="44" customWidth="1"/>
    <col min="11013" max="11261" width="9.1796875" style="44"/>
    <col min="11262" max="11262" width="6.453125" style="44" customWidth="1"/>
    <col min="11263" max="11263" width="47.81640625" style="44" customWidth="1"/>
    <col min="11264" max="11264" width="12.7265625" style="44" customWidth="1"/>
    <col min="11265" max="11265" width="14.453125" style="44" customWidth="1"/>
    <col min="11266" max="11266" width="12.1796875" style="44" customWidth="1"/>
    <col min="11267" max="11268" width="11.81640625" style="44" customWidth="1"/>
    <col min="11269" max="11517" width="9.1796875" style="44"/>
    <col min="11518" max="11518" width="6.453125" style="44" customWidth="1"/>
    <col min="11519" max="11519" width="47.81640625" style="44" customWidth="1"/>
    <col min="11520" max="11520" width="12.7265625" style="44" customWidth="1"/>
    <col min="11521" max="11521" width="14.453125" style="44" customWidth="1"/>
    <col min="11522" max="11522" width="12.1796875" style="44" customWidth="1"/>
    <col min="11523" max="11524" width="11.81640625" style="44" customWidth="1"/>
    <col min="11525" max="11773" width="9.1796875" style="44"/>
    <col min="11774" max="11774" width="6.453125" style="44" customWidth="1"/>
    <col min="11775" max="11775" width="47.81640625" style="44" customWidth="1"/>
    <col min="11776" max="11776" width="12.7265625" style="44" customWidth="1"/>
    <col min="11777" max="11777" width="14.453125" style="44" customWidth="1"/>
    <col min="11778" max="11778" width="12.1796875" style="44" customWidth="1"/>
    <col min="11779" max="11780" width="11.81640625" style="44" customWidth="1"/>
    <col min="11781" max="12029" width="9.1796875" style="44"/>
    <col min="12030" max="12030" width="6.453125" style="44" customWidth="1"/>
    <col min="12031" max="12031" width="47.81640625" style="44" customWidth="1"/>
    <col min="12032" max="12032" width="12.7265625" style="44" customWidth="1"/>
    <col min="12033" max="12033" width="14.453125" style="44" customWidth="1"/>
    <col min="12034" max="12034" width="12.1796875" style="44" customWidth="1"/>
    <col min="12035" max="12036" width="11.81640625" style="44" customWidth="1"/>
    <col min="12037" max="12285" width="9.1796875" style="44"/>
    <col min="12286" max="12286" width="6.453125" style="44" customWidth="1"/>
    <col min="12287" max="12287" width="47.81640625" style="44" customWidth="1"/>
    <col min="12288" max="12288" width="12.7265625" style="44" customWidth="1"/>
    <col min="12289" max="12289" width="14.453125" style="44" customWidth="1"/>
    <col min="12290" max="12290" width="12.1796875" style="44" customWidth="1"/>
    <col min="12291" max="12292" width="11.81640625" style="44" customWidth="1"/>
    <col min="12293" max="12541" width="9.1796875" style="44"/>
    <col min="12542" max="12542" width="6.453125" style="44" customWidth="1"/>
    <col min="12543" max="12543" width="47.81640625" style="44" customWidth="1"/>
    <col min="12544" max="12544" width="12.7265625" style="44" customWidth="1"/>
    <col min="12545" max="12545" width="14.453125" style="44" customWidth="1"/>
    <col min="12546" max="12546" width="12.1796875" style="44" customWidth="1"/>
    <col min="12547" max="12548" width="11.81640625" style="44" customWidth="1"/>
    <col min="12549" max="12797" width="9.1796875" style="44"/>
    <col min="12798" max="12798" width="6.453125" style="44" customWidth="1"/>
    <col min="12799" max="12799" width="47.81640625" style="44" customWidth="1"/>
    <col min="12800" max="12800" width="12.7265625" style="44" customWidth="1"/>
    <col min="12801" max="12801" width="14.453125" style="44" customWidth="1"/>
    <col min="12802" max="12802" width="12.1796875" style="44" customWidth="1"/>
    <col min="12803" max="12804" width="11.81640625" style="44" customWidth="1"/>
    <col min="12805" max="13053" width="9.1796875" style="44"/>
    <col min="13054" max="13054" width="6.453125" style="44" customWidth="1"/>
    <col min="13055" max="13055" width="47.81640625" style="44" customWidth="1"/>
    <col min="13056" max="13056" width="12.7265625" style="44" customWidth="1"/>
    <col min="13057" max="13057" width="14.453125" style="44" customWidth="1"/>
    <col min="13058" max="13058" width="12.1796875" style="44" customWidth="1"/>
    <col min="13059" max="13060" width="11.81640625" style="44" customWidth="1"/>
    <col min="13061" max="13309" width="9.1796875" style="44"/>
    <col min="13310" max="13310" width="6.453125" style="44" customWidth="1"/>
    <col min="13311" max="13311" width="47.81640625" style="44" customWidth="1"/>
    <col min="13312" max="13312" width="12.7265625" style="44" customWidth="1"/>
    <col min="13313" max="13313" width="14.453125" style="44" customWidth="1"/>
    <col min="13314" max="13314" width="12.1796875" style="44" customWidth="1"/>
    <col min="13315" max="13316" width="11.81640625" style="44" customWidth="1"/>
    <col min="13317" max="13565" width="9.1796875" style="44"/>
    <col min="13566" max="13566" width="6.453125" style="44" customWidth="1"/>
    <col min="13567" max="13567" width="47.81640625" style="44" customWidth="1"/>
    <col min="13568" max="13568" width="12.7265625" style="44" customWidth="1"/>
    <col min="13569" max="13569" width="14.453125" style="44" customWidth="1"/>
    <col min="13570" max="13570" width="12.1796875" style="44" customWidth="1"/>
    <col min="13571" max="13572" width="11.81640625" style="44" customWidth="1"/>
    <col min="13573" max="13821" width="9.1796875" style="44"/>
    <col min="13822" max="13822" width="6.453125" style="44" customWidth="1"/>
    <col min="13823" max="13823" width="47.81640625" style="44" customWidth="1"/>
    <col min="13824" max="13824" width="12.7265625" style="44" customWidth="1"/>
    <col min="13825" max="13825" width="14.453125" style="44" customWidth="1"/>
    <col min="13826" max="13826" width="12.1796875" style="44" customWidth="1"/>
    <col min="13827" max="13828" width="11.81640625" style="44" customWidth="1"/>
    <col min="13829" max="14077" width="9.1796875" style="44"/>
    <col min="14078" max="14078" width="6.453125" style="44" customWidth="1"/>
    <col min="14079" max="14079" width="47.81640625" style="44" customWidth="1"/>
    <col min="14080" max="14080" width="12.7265625" style="44" customWidth="1"/>
    <col min="14081" max="14081" width="14.453125" style="44" customWidth="1"/>
    <col min="14082" max="14082" width="12.1796875" style="44" customWidth="1"/>
    <col min="14083" max="14084" width="11.81640625" style="44" customWidth="1"/>
    <col min="14085" max="14333" width="9.1796875" style="44"/>
    <col min="14334" max="14334" width="6.453125" style="44" customWidth="1"/>
    <col min="14335" max="14335" width="47.81640625" style="44" customWidth="1"/>
    <col min="14336" max="14336" width="12.7265625" style="44" customWidth="1"/>
    <col min="14337" max="14337" width="14.453125" style="44" customWidth="1"/>
    <col min="14338" max="14338" width="12.1796875" style="44" customWidth="1"/>
    <col min="14339" max="14340" width="11.81640625" style="44" customWidth="1"/>
    <col min="14341" max="14589" width="9.1796875" style="44"/>
    <col min="14590" max="14590" width="6.453125" style="44" customWidth="1"/>
    <col min="14591" max="14591" width="47.81640625" style="44" customWidth="1"/>
    <col min="14592" max="14592" width="12.7265625" style="44" customWidth="1"/>
    <col min="14593" max="14593" width="14.453125" style="44" customWidth="1"/>
    <col min="14594" max="14594" width="12.1796875" style="44" customWidth="1"/>
    <col min="14595" max="14596" width="11.81640625" style="44" customWidth="1"/>
    <col min="14597" max="14845" width="9.1796875" style="44"/>
    <col min="14846" max="14846" width="6.453125" style="44" customWidth="1"/>
    <col min="14847" max="14847" width="47.81640625" style="44" customWidth="1"/>
    <col min="14848" max="14848" width="12.7265625" style="44" customWidth="1"/>
    <col min="14849" max="14849" width="14.453125" style="44" customWidth="1"/>
    <col min="14850" max="14850" width="12.1796875" style="44" customWidth="1"/>
    <col min="14851" max="14852" width="11.81640625" style="44" customWidth="1"/>
    <col min="14853" max="15101" width="9.1796875" style="44"/>
    <col min="15102" max="15102" width="6.453125" style="44" customWidth="1"/>
    <col min="15103" max="15103" width="47.81640625" style="44" customWidth="1"/>
    <col min="15104" max="15104" width="12.7265625" style="44" customWidth="1"/>
    <col min="15105" max="15105" width="14.453125" style="44" customWidth="1"/>
    <col min="15106" max="15106" width="12.1796875" style="44" customWidth="1"/>
    <col min="15107" max="15108" width="11.81640625" style="44" customWidth="1"/>
    <col min="15109" max="15357" width="9.1796875" style="44"/>
    <col min="15358" max="15358" width="6.453125" style="44" customWidth="1"/>
    <col min="15359" max="15359" width="47.81640625" style="44" customWidth="1"/>
    <col min="15360" max="15360" width="12.7265625" style="44" customWidth="1"/>
    <col min="15361" max="15361" width="14.453125" style="44" customWidth="1"/>
    <col min="15362" max="15362" width="12.1796875" style="44" customWidth="1"/>
    <col min="15363" max="15364" width="11.81640625" style="44" customWidth="1"/>
    <col min="15365" max="15613" width="9.1796875" style="44"/>
    <col min="15614" max="15614" width="6.453125" style="44" customWidth="1"/>
    <col min="15615" max="15615" width="47.81640625" style="44" customWidth="1"/>
    <col min="15616" max="15616" width="12.7265625" style="44" customWidth="1"/>
    <col min="15617" max="15617" width="14.453125" style="44" customWidth="1"/>
    <col min="15618" max="15618" width="12.1796875" style="44" customWidth="1"/>
    <col min="15619" max="15620" width="11.81640625" style="44" customWidth="1"/>
    <col min="15621" max="15869" width="9.1796875" style="44"/>
    <col min="15870" max="15870" width="6.453125" style="44" customWidth="1"/>
    <col min="15871" max="15871" width="47.81640625" style="44" customWidth="1"/>
    <col min="15872" max="15872" width="12.7265625" style="44" customWidth="1"/>
    <col min="15873" max="15873" width="14.453125" style="44" customWidth="1"/>
    <col min="15874" max="15874" width="12.1796875" style="44" customWidth="1"/>
    <col min="15875" max="15876" width="11.81640625" style="44" customWidth="1"/>
    <col min="15877" max="16125" width="9.1796875" style="44"/>
    <col min="16126" max="16126" width="6.453125" style="44" customWidth="1"/>
    <col min="16127" max="16127" width="47.81640625" style="44" customWidth="1"/>
    <col min="16128" max="16128" width="12.7265625" style="44" customWidth="1"/>
    <col min="16129" max="16129" width="14.453125" style="44" customWidth="1"/>
    <col min="16130" max="16130" width="12.1796875" style="44" customWidth="1"/>
    <col min="16131" max="16132" width="11.81640625" style="44" customWidth="1"/>
    <col min="16133" max="16384" width="9.1796875" style="44"/>
  </cols>
  <sheetData>
    <row r="1" spans="1:6" ht="27" customHeight="1" x14ac:dyDescent="0.3">
      <c r="A1" s="1472" t="s">
        <v>1285</v>
      </c>
      <c r="B1" s="1472"/>
      <c r="C1" s="1472"/>
      <c r="D1" s="608"/>
      <c r="E1" s="639"/>
    </row>
    <row r="2" spans="1:6" ht="26.5" customHeight="1" x14ac:dyDescent="0.3">
      <c r="A2" s="1473" t="s">
        <v>187</v>
      </c>
      <c r="B2" s="1473" t="s">
        <v>276</v>
      </c>
      <c r="C2" s="510" t="s">
        <v>1030</v>
      </c>
      <c r="D2" s="152" t="s">
        <v>1016</v>
      </c>
      <c r="E2" s="152" t="s">
        <v>1016</v>
      </c>
      <c r="F2" s="1479"/>
    </row>
    <row r="3" spans="1:6" ht="40" customHeight="1" x14ac:dyDescent="0.3">
      <c r="A3" s="1474"/>
      <c r="B3" s="1474"/>
      <c r="C3" s="111" t="s">
        <v>1281</v>
      </c>
      <c r="D3" s="111" t="s">
        <v>1282</v>
      </c>
      <c r="E3" s="111" t="s">
        <v>1463</v>
      </c>
      <c r="F3" s="1479"/>
    </row>
    <row r="4" spans="1:6" x14ac:dyDescent="0.3">
      <c r="A4" s="606">
        <v>1</v>
      </c>
      <c r="B4" s="606">
        <v>2</v>
      </c>
      <c r="C4" s="501"/>
      <c r="D4" s="501"/>
      <c r="E4" s="501"/>
    </row>
    <row r="5" spans="1:6" x14ac:dyDescent="0.3">
      <c r="A5" s="108" t="s">
        <v>26</v>
      </c>
      <c r="B5" s="517" t="s">
        <v>346</v>
      </c>
      <c r="C5" s="502">
        <v>2216.44</v>
      </c>
      <c r="D5" s="502">
        <v>1846.34</v>
      </c>
      <c r="E5" s="679">
        <v>1846.34</v>
      </c>
    </row>
    <row r="6" spans="1:6" x14ac:dyDescent="0.3">
      <c r="A6" s="108" t="s">
        <v>28</v>
      </c>
      <c r="B6" s="517" t="s">
        <v>1017</v>
      </c>
      <c r="C6" s="502">
        <v>2321.08</v>
      </c>
      <c r="D6" s="502">
        <v>4142.38</v>
      </c>
      <c r="E6" s="679">
        <f>4142.38-451</f>
        <v>3691.38</v>
      </c>
    </row>
    <row r="7" spans="1:6" x14ac:dyDescent="0.3">
      <c r="A7" s="108"/>
      <c r="B7" s="517" t="s">
        <v>347</v>
      </c>
      <c r="C7" s="502"/>
      <c r="D7" s="501"/>
      <c r="E7" s="501"/>
    </row>
    <row r="8" spans="1:6" ht="26" x14ac:dyDescent="0.3">
      <c r="A8" s="108" t="s">
        <v>30</v>
      </c>
      <c r="B8" s="517" t="s">
        <v>1283</v>
      </c>
      <c r="C8" s="502"/>
      <c r="D8" s="501">
        <f>658.51+1031.77</f>
        <v>1690.28</v>
      </c>
      <c r="E8" s="501">
        <f>658.51+1031.77</f>
        <v>1690.28</v>
      </c>
    </row>
    <row r="9" spans="1:6" x14ac:dyDescent="0.3">
      <c r="A9" s="108"/>
      <c r="B9" s="517" t="s">
        <v>1284</v>
      </c>
      <c r="C9" s="502"/>
      <c r="D9" s="501"/>
      <c r="E9" s="501"/>
    </row>
    <row r="10" spans="1:6" x14ac:dyDescent="0.3">
      <c r="A10" s="108" t="s">
        <v>206</v>
      </c>
      <c r="B10" s="517" t="s">
        <v>349</v>
      </c>
      <c r="C10" s="503"/>
      <c r="D10" s="503"/>
      <c r="E10" s="503"/>
    </row>
    <row r="11" spans="1:6" x14ac:dyDescent="0.3">
      <c r="A11" s="108" t="s">
        <v>278</v>
      </c>
      <c r="B11" s="517" t="s">
        <v>350</v>
      </c>
      <c r="C11" s="502">
        <v>203.25</v>
      </c>
      <c r="D11" s="502">
        <f>37.01+192.07</f>
        <v>229.07999999999998</v>
      </c>
      <c r="E11" s="502">
        <f>37.01+192.07</f>
        <v>229.07999999999998</v>
      </c>
    </row>
    <row r="12" spans="1:6" x14ac:dyDescent="0.3">
      <c r="A12" s="108" t="s">
        <v>351</v>
      </c>
      <c r="B12" s="517" t="s">
        <v>352</v>
      </c>
      <c r="C12" s="502"/>
      <c r="D12" s="502">
        <v>37.01</v>
      </c>
      <c r="E12" s="502">
        <v>37.01</v>
      </c>
    </row>
    <row r="13" spans="1:6" x14ac:dyDescent="0.3">
      <c r="A13" s="108" t="s">
        <v>353</v>
      </c>
      <c r="B13" s="517" t="s">
        <v>354</v>
      </c>
      <c r="C13" s="502">
        <v>203.25</v>
      </c>
      <c r="D13" s="502">
        <v>192.07</v>
      </c>
      <c r="E13" s="502">
        <v>192.07</v>
      </c>
    </row>
    <row r="14" spans="1:6" x14ac:dyDescent="0.3">
      <c r="A14" s="108" t="s">
        <v>280</v>
      </c>
      <c r="B14" s="517" t="s">
        <v>355</v>
      </c>
      <c r="C14" s="502">
        <v>30261.72</v>
      </c>
      <c r="D14" s="624">
        <v>32941.33</v>
      </c>
      <c r="E14" s="624">
        <f>32941.33-155-365</f>
        <v>32421.33</v>
      </c>
      <c r="F14" s="44" t="s">
        <v>1324</v>
      </c>
    </row>
    <row r="15" spans="1:6" x14ac:dyDescent="0.3">
      <c r="A15" s="108"/>
      <c r="B15" s="517" t="s">
        <v>347</v>
      </c>
      <c r="C15" s="502"/>
      <c r="D15" s="501"/>
      <c r="E15" s="501"/>
    </row>
    <row r="16" spans="1:6" x14ac:dyDescent="0.3">
      <c r="A16" s="108" t="s">
        <v>32</v>
      </c>
      <c r="B16" s="518" t="s">
        <v>356</v>
      </c>
      <c r="C16" s="502">
        <v>9199.56</v>
      </c>
      <c r="D16" s="624">
        <v>9446.61</v>
      </c>
      <c r="E16" s="624">
        <f>9446.61-47-110</f>
        <v>9289.61</v>
      </c>
    </row>
    <row r="17" spans="1:5" x14ac:dyDescent="0.3">
      <c r="A17" s="108"/>
      <c r="B17" s="517" t="s">
        <v>347</v>
      </c>
      <c r="C17" s="502"/>
      <c r="D17" s="501"/>
      <c r="E17" s="501"/>
    </row>
    <row r="18" spans="1:5" x14ac:dyDescent="0.3">
      <c r="A18" s="108" t="s">
        <v>282</v>
      </c>
      <c r="B18" s="519" t="s">
        <v>357</v>
      </c>
      <c r="C18" s="502">
        <v>10947.46</v>
      </c>
      <c r="D18" s="502">
        <v>5891.47</v>
      </c>
      <c r="E18" s="502">
        <v>5891.47</v>
      </c>
    </row>
    <row r="19" spans="1:5" x14ac:dyDescent="0.3">
      <c r="A19" s="108" t="s">
        <v>285</v>
      </c>
      <c r="B19" s="517" t="s">
        <v>358</v>
      </c>
      <c r="C19" s="502">
        <v>14787.16</v>
      </c>
      <c r="D19" s="502">
        <f>D21+D22+D23+D24+D25+D30+D20+D26+D33</f>
        <v>15187.900000000001</v>
      </c>
      <c r="E19" s="502">
        <f>E21+E22+E23+E24+E25+E30+E20+E26+E33</f>
        <v>15187.900000000001</v>
      </c>
    </row>
    <row r="20" spans="1:5" ht="39" x14ac:dyDescent="0.3">
      <c r="A20" s="520" t="s">
        <v>359</v>
      </c>
      <c r="B20" s="521" t="s">
        <v>1220</v>
      </c>
      <c r="C20" s="503"/>
      <c r="D20" s="503"/>
      <c r="E20" s="503"/>
    </row>
    <row r="21" spans="1:5" x14ac:dyDescent="0.3">
      <c r="A21" s="108" t="s">
        <v>360</v>
      </c>
      <c r="B21" s="517" t="s">
        <v>1117</v>
      </c>
      <c r="C21" s="503"/>
      <c r="D21" s="502">
        <v>56.39</v>
      </c>
      <c r="E21" s="502">
        <v>56.39</v>
      </c>
    </row>
    <row r="22" spans="1:5" ht="26" x14ac:dyDescent="0.3">
      <c r="A22" s="108" t="s">
        <v>361</v>
      </c>
      <c r="B22" s="517" t="s">
        <v>362</v>
      </c>
      <c r="C22" s="502"/>
      <c r="D22" s="501">
        <v>18.63</v>
      </c>
      <c r="E22" s="501">
        <v>18.63</v>
      </c>
    </row>
    <row r="23" spans="1:5" ht="117" x14ac:dyDescent="0.3">
      <c r="A23" s="520" t="s">
        <v>1019</v>
      </c>
      <c r="B23" s="517" t="s">
        <v>1020</v>
      </c>
      <c r="C23" s="502">
        <v>9557.8700000000008</v>
      </c>
      <c r="D23" s="502">
        <v>9197.2800000000007</v>
      </c>
      <c r="E23" s="502">
        <v>9197.2800000000007</v>
      </c>
    </row>
    <row r="24" spans="1:5" ht="26" x14ac:dyDescent="0.3">
      <c r="A24" s="108" t="s">
        <v>1021</v>
      </c>
      <c r="B24" s="517" t="s">
        <v>1022</v>
      </c>
      <c r="C24" s="502"/>
      <c r="D24" s="504"/>
      <c r="E24" s="504"/>
    </row>
    <row r="25" spans="1:5" x14ac:dyDescent="0.3">
      <c r="A25" s="108" t="s">
        <v>1023</v>
      </c>
      <c r="B25" s="517" t="s">
        <v>1024</v>
      </c>
      <c r="C25" s="502"/>
      <c r="D25" s="502"/>
      <c r="E25" s="502"/>
    </row>
    <row r="26" spans="1:5" ht="26" x14ac:dyDescent="0.3">
      <c r="A26" s="108" t="s">
        <v>363</v>
      </c>
      <c r="B26" s="517" t="s">
        <v>364</v>
      </c>
      <c r="C26" s="502">
        <v>3526.28</v>
      </c>
      <c r="D26" s="502">
        <f>D28+D29</f>
        <v>2914.3</v>
      </c>
      <c r="E26" s="502">
        <f>E28+E29</f>
        <v>2914.3</v>
      </c>
    </row>
    <row r="27" spans="1:5" x14ac:dyDescent="0.3">
      <c r="A27" s="108" t="s">
        <v>365</v>
      </c>
      <c r="B27" s="517" t="s">
        <v>366</v>
      </c>
      <c r="C27" s="502"/>
      <c r="D27" s="501"/>
      <c r="E27" s="501"/>
    </row>
    <row r="28" spans="1:5" x14ac:dyDescent="0.3">
      <c r="A28" s="108" t="s">
        <v>367</v>
      </c>
      <c r="B28" s="517" t="s">
        <v>368</v>
      </c>
      <c r="C28" s="502">
        <v>45.55</v>
      </c>
      <c r="D28" s="502">
        <v>46.9</v>
      </c>
      <c r="E28" s="502">
        <v>46.9</v>
      </c>
    </row>
    <row r="29" spans="1:5" x14ac:dyDescent="0.3">
      <c r="A29" s="108" t="s">
        <v>369</v>
      </c>
      <c r="B29" s="517" t="s">
        <v>370</v>
      </c>
      <c r="C29" s="502">
        <v>3480.73</v>
      </c>
      <c r="D29" s="502">
        <v>2867.4</v>
      </c>
      <c r="E29" s="502">
        <v>2867.4</v>
      </c>
    </row>
    <row r="30" spans="1:5" ht="26" x14ac:dyDescent="0.3">
      <c r="A30" s="108" t="s">
        <v>371</v>
      </c>
      <c r="B30" s="517" t="s">
        <v>1025</v>
      </c>
      <c r="C30" s="502">
        <v>1703.01</v>
      </c>
      <c r="D30" s="502">
        <v>2903.46</v>
      </c>
      <c r="E30" s="502">
        <v>2903.46</v>
      </c>
    </row>
    <row r="31" spans="1:5" x14ac:dyDescent="0.3">
      <c r="A31" s="108" t="s">
        <v>373</v>
      </c>
      <c r="B31" s="517" t="s">
        <v>1026</v>
      </c>
      <c r="C31" s="502"/>
      <c r="D31" s="501"/>
      <c r="E31" s="501"/>
    </row>
    <row r="32" spans="1:5" x14ac:dyDescent="0.3">
      <c r="A32" s="108" t="s">
        <v>1027</v>
      </c>
      <c r="B32" s="517" t="s">
        <v>1028</v>
      </c>
      <c r="C32" s="502"/>
      <c r="D32" s="501"/>
      <c r="E32" s="501"/>
    </row>
    <row r="33" spans="1:5" ht="26" x14ac:dyDescent="0.3">
      <c r="A33" s="110" t="s">
        <v>1255</v>
      </c>
      <c r="B33" s="609" t="s">
        <v>1175</v>
      </c>
      <c r="C33" s="502"/>
      <c r="D33" s="627">
        <v>97.84</v>
      </c>
      <c r="E33" s="627">
        <v>97.84</v>
      </c>
    </row>
    <row r="34" spans="1:5" x14ac:dyDescent="0.3">
      <c r="A34" s="108" t="s">
        <v>286</v>
      </c>
      <c r="B34" s="522" t="s">
        <v>374</v>
      </c>
      <c r="C34" s="506">
        <v>69936.67</v>
      </c>
      <c r="D34" s="506">
        <f>D5+D6+D8+D11+D14+D16+D18+D19</f>
        <v>71375.390000000014</v>
      </c>
      <c r="E34" s="506">
        <f>E5+E6+E8+E11+E14+E16+E18+E19</f>
        <v>70247.390000000014</v>
      </c>
    </row>
    <row r="35" spans="1:5" ht="26" x14ac:dyDescent="0.3">
      <c r="A35" s="108" t="s">
        <v>287</v>
      </c>
      <c r="B35" s="517" t="s">
        <v>375</v>
      </c>
      <c r="C35" s="502">
        <v>1849.82</v>
      </c>
      <c r="D35" s="501"/>
      <c r="E35" s="501"/>
    </row>
    <row r="36" spans="1:5" ht="26" x14ac:dyDescent="0.3">
      <c r="A36" s="108" t="s">
        <v>376</v>
      </c>
      <c r="B36" s="517" t="s">
        <v>377</v>
      </c>
      <c r="C36" s="501"/>
      <c r="D36" s="501"/>
      <c r="E36" s="501"/>
    </row>
    <row r="37" spans="1:5" x14ac:dyDescent="0.3">
      <c r="A37" s="108"/>
      <c r="B37" s="517"/>
      <c r="C37" s="501"/>
      <c r="D37" s="501"/>
      <c r="E37" s="501"/>
    </row>
    <row r="38" spans="1:5" x14ac:dyDescent="0.3">
      <c r="A38" s="109" t="s">
        <v>378</v>
      </c>
      <c r="B38" s="517" t="s">
        <v>379</v>
      </c>
      <c r="C38" s="506">
        <f>C34+C35</f>
        <v>71786.490000000005</v>
      </c>
      <c r="D38" s="506">
        <f>D34+D35</f>
        <v>71375.390000000014</v>
      </c>
      <c r="E38" s="506">
        <f>E34+E35</f>
        <v>70247.390000000014</v>
      </c>
    </row>
    <row r="39" spans="1:5" x14ac:dyDescent="0.3">
      <c r="A39" s="108"/>
      <c r="B39" s="517" t="s">
        <v>380</v>
      </c>
      <c r="C39" s="501"/>
      <c r="D39" s="501"/>
      <c r="E39" s="501"/>
    </row>
    <row r="40" spans="1:5" x14ac:dyDescent="0.3">
      <c r="A40" s="110" t="s">
        <v>381</v>
      </c>
      <c r="B40" s="517" t="s">
        <v>382</v>
      </c>
      <c r="C40" s="501"/>
      <c r="D40" s="501"/>
      <c r="E40" s="501"/>
    </row>
    <row r="41" spans="1:5" x14ac:dyDescent="0.3">
      <c r="A41" s="110" t="s">
        <v>383</v>
      </c>
      <c r="B41" s="517" t="s">
        <v>384</v>
      </c>
      <c r="C41" s="501"/>
      <c r="D41" s="501"/>
      <c r="E41" s="501"/>
    </row>
    <row r="42" spans="1:5" x14ac:dyDescent="0.3">
      <c r="A42" s="110" t="s">
        <v>385</v>
      </c>
      <c r="B42" s="517" t="s">
        <v>386</v>
      </c>
      <c r="C42" s="501"/>
      <c r="D42" s="501"/>
      <c r="E42" s="501"/>
    </row>
    <row r="43" spans="1:5" x14ac:dyDescent="0.3">
      <c r="A43" s="110" t="s">
        <v>387</v>
      </c>
      <c r="B43" s="517" t="s">
        <v>388</v>
      </c>
      <c r="C43" s="501"/>
      <c r="D43" s="501"/>
      <c r="E43" s="501"/>
    </row>
    <row r="44" spans="1:5" x14ac:dyDescent="0.3">
      <c r="A44" s="108" t="s">
        <v>389</v>
      </c>
      <c r="B44" s="517" t="s">
        <v>390</v>
      </c>
      <c r="C44" s="501"/>
      <c r="D44" s="501"/>
      <c r="E44" s="501"/>
    </row>
    <row r="45" spans="1:5" x14ac:dyDescent="0.3">
      <c r="A45" s="110" t="s">
        <v>391</v>
      </c>
      <c r="B45" s="517" t="s">
        <v>392</v>
      </c>
      <c r="C45" s="501"/>
      <c r="D45" s="501"/>
      <c r="E45" s="501"/>
    </row>
    <row r="46" spans="1:5" x14ac:dyDescent="0.3">
      <c r="A46" s="110" t="s">
        <v>393</v>
      </c>
      <c r="B46" s="517" t="s">
        <v>394</v>
      </c>
      <c r="C46" s="501"/>
      <c r="D46" s="501"/>
      <c r="E46" s="501"/>
    </row>
    <row r="47" spans="1:5" x14ac:dyDescent="0.3">
      <c r="A47" s="110" t="s">
        <v>395</v>
      </c>
      <c r="B47" s="517" t="s">
        <v>396</v>
      </c>
      <c r="C47" s="501"/>
      <c r="D47" s="501"/>
      <c r="E47" s="501"/>
    </row>
    <row r="48" spans="1:5" x14ac:dyDescent="0.3">
      <c r="A48" s="108" t="s">
        <v>397</v>
      </c>
      <c r="B48" s="517" t="s">
        <v>398</v>
      </c>
      <c r="C48" s="501"/>
      <c r="D48" s="501"/>
      <c r="E48" s="501"/>
    </row>
    <row r="49" spans="1:5" x14ac:dyDescent="0.3">
      <c r="A49" s="607"/>
      <c r="B49" s="523" t="s">
        <v>399</v>
      </c>
      <c r="C49" s="506">
        <v>7760.04</v>
      </c>
      <c r="D49" s="506"/>
      <c r="E49" s="506"/>
    </row>
    <row r="50" spans="1:5" x14ac:dyDescent="0.3">
      <c r="A50" s="524"/>
      <c r="B50" s="522" t="s">
        <v>401</v>
      </c>
      <c r="C50" s="506">
        <f>C38+C49</f>
        <v>79546.53</v>
      </c>
      <c r="D50" s="506">
        <f t="shared" ref="D50:E50" si="0">D38+D49</f>
        <v>71375.390000000014</v>
      </c>
      <c r="E50" s="506">
        <f t="shared" si="0"/>
        <v>70247.390000000014</v>
      </c>
    </row>
    <row r="51" spans="1:5" x14ac:dyDescent="0.3">
      <c r="B51" s="508"/>
      <c r="C51" s="509"/>
      <c r="D51" s="509"/>
      <c r="E51" s="509"/>
    </row>
    <row r="52" spans="1:5" x14ac:dyDescent="0.3">
      <c r="A52" s="44" t="s">
        <v>10</v>
      </c>
      <c r="B52" s="525"/>
      <c r="C52" s="44" t="s">
        <v>963</v>
      </c>
    </row>
    <row r="54" spans="1:5" ht="15" x14ac:dyDescent="0.3">
      <c r="A54" s="375" t="s">
        <v>1116</v>
      </c>
    </row>
    <row r="55" spans="1:5" x14ac:dyDescent="0.3">
      <c r="A55" s="44" t="s">
        <v>1256</v>
      </c>
    </row>
    <row r="56" spans="1:5" ht="26.5" customHeight="1" x14ac:dyDescent="0.3">
      <c r="A56" s="1473" t="s">
        <v>187</v>
      </c>
      <c r="B56" s="1473" t="s">
        <v>276</v>
      </c>
      <c r="C56" s="510" t="s">
        <v>1030</v>
      </c>
      <c r="D56" s="152" t="s">
        <v>1016</v>
      </c>
      <c r="E56" s="674"/>
    </row>
    <row r="57" spans="1:5" ht="34.5" customHeight="1" x14ac:dyDescent="0.3">
      <c r="A57" s="1474"/>
      <c r="B57" s="1474"/>
      <c r="C57" s="111" t="s">
        <v>1281</v>
      </c>
      <c r="D57" s="111" t="s">
        <v>1282</v>
      </c>
    </row>
    <row r="58" spans="1:5" x14ac:dyDescent="0.3">
      <c r="A58" s="501"/>
      <c r="B58" s="501" t="s">
        <v>1287</v>
      </c>
      <c r="C58" s="501"/>
      <c r="D58" s="502">
        <v>408.5</v>
      </c>
    </row>
    <row r="59" spans="1:5" x14ac:dyDescent="0.3">
      <c r="A59" s="501"/>
      <c r="B59" s="501" t="s">
        <v>1291</v>
      </c>
      <c r="C59" s="501"/>
      <c r="D59" s="502">
        <v>15.2</v>
      </c>
    </row>
    <row r="60" spans="1:5" ht="39" x14ac:dyDescent="0.3">
      <c r="A60" s="501"/>
      <c r="B60" s="501" t="s">
        <v>1034</v>
      </c>
      <c r="C60" s="501"/>
      <c r="D60" s="502">
        <f>7.4+332.93+48.96</f>
        <v>389.28999999999996</v>
      </c>
      <c r="E60" s="899" t="s">
        <v>1286</v>
      </c>
    </row>
    <row r="61" spans="1:5" ht="39" x14ac:dyDescent="0.3">
      <c r="A61" s="501"/>
      <c r="B61" s="501" t="s">
        <v>1035</v>
      </c>
      <c r="C61" s="501"/>
      <c r="D61" s="502">
        <f>295.25+100.98+15</f>
        <v>411.23</v>
      </c>
      <c r="E61" s="899" t="s">
        <v>1293</v>
      </c>
    </row>
    <row r="62" spans="1:5" x14ac:dyDescent="0.3">
      <c r="A62" s="501"/>
      <c r="B62" s="501" t="s">
        <v>1474</v>
      </c>
      <c r="C62" s="501"/>
      <c r="D62" s="502"/>
    </row>
    <row r="63" spans="1:5" x14ac:dyDescent="0.3">
      <c r="A63" s="501"/>
      <c r="B63" s="501" t="s">
        <v>1036</v>
      </c>
      <c r="C63" s="501"/>
      <c r="D63" s="502">
        <v>211.3</v>
      </c>
    </row>
    <row r="64" spans="1:5" x14ac:dyDescent="0.3">
      <c r="A64" s="501"/>
      <c r="B64" s="501" t="s">
        <v>277</v>
      </c>
      <c r="C64" s="501"/>
      <c r="D64" s="502">
        <f>158.09+2.04</f>
        <v>160.13</v>
      </c>
    </row>
    <row r="65" spans="1:4" x14ac:dyDescent="0.3">
      <c r="A65" s="501"/>
      <c r="B65" s="501" t="s">
        <v>1250</v>
      </c>
      <c r="C65" s="501"/>
      <c r="D65" s="502">
        <v>42.74</v>
      </c>
    </row>
    <row r="66" spans="1:4" x14ac:dyDescent="0.3">
      <c r="A66" s="527"/>
      <c r="B66" s="501" t="s">
        <v>1037</v>
      </c>
      <c r="C66" s="501"/>
      <c r="D66" s="502">
        <v>223.03</v>
      </c>
    </row>
    <row r="67" spans="1:4" x14ac:dyDescent="0.3">
      <c r="A67" s="501"/>
      <c r="B67" s="501" t="s">
        <v>1289</v>
      </c>
      <c r="C67" s="501"/>
      <c r="D67" s="502">
        <v>63.53</v>
      </c>
    </row>
    <row r="68" spans="1:4" x14ac:dyDescent="0.3">
      <c r="A68" s="501"/>
      <c r="B68" s="501" t="s">
        <v>1288</v>
      </c>
      <c r="C68" s="501"/>
      <c r="D68" s="502">
        <f>10.02+8.8</f>
        <v>18.82</v>
      </c>
    </row>
    <row r="69" spans="1:4" x14ac:dyDescent="0.3">
      <c r="A69" s="501"/>
      <c r="B69" s="501" t="s">
        <v>1292</v>
      </c>
      <c r="C69" s="501"/>
      <c r="D69" s="502">
        <v>12.93</v>
      </c>
    </row>
    <row r="70" spans="1:4" x14ac:dyDescent="0.3">
      <c r="A70" s="501"/>
      <c r="B70" s="501" t="s">
        <v>1056</v>
      </c>
      <c r="C70" s="501"/>
      <c r="D70" s="502">
        <v>95</v>
      </c>
    </row>
    <row r="71" spans="1:4" x14ac:dyDescent="0.3">
      <c r="A71" s="501"/>
      <c r="B71" s="501" t="s">
        <v>1290</v>
      </c>
      <c r="C71" s="501"/>
      <c r="D71" s="502">
        <v>27</v>
      </c>
    </row>
    <row r="72" spans="1:4" x14ac:dyDescent="0.3">
      <c r="A72" s="501"/>
      <c r="B72" s="501" t="s">
        <v>1053</v>
      </c>
      <c r="C72" s="501"/>
      <c r="D72" s="502">
        <v>165.6</v>
      </c>
    </row>
    <row r="73" spans="1:4" x14ac:dyDescent="0.3">
      <c r="A73" s="501"/>
      <c r="B73" s="501" t="s">
        <v>1248</v>
      </c>
      <c r="C73" s="501"/>
      <c r="D73" s="502">
        <v>9.3000000000000007</v>
      </c>
    </row>
    <row r="74" spans="1:4" ht="21.5" x14ac:dyDescent="0.3">
      <c r="A74" s="501"/>
      <c r="B74" s="369" t="s">
        <v>1083</v>
      </c>
      <c r="C74" s="501"/>
      <c r="D74" s="502">
        <v>36.28</v>
      </c>
    </row>
    <row r="75" spans="1:4" x14ac:dyDescent="0.3">
      <c r="A75" s="501"/>
      <c r="B75" s="444" t="s">
        <v>1221</v>
      </c>
      <c r="C75" s="501"/>
      <c r="D75" s="502">
        <v>33.869999999999997</v>
      </c>
    </row>
    <row r="76" spans="1:4" x14ac:dyDescent="0.3">
      <c r="A76" s="501"/>
      <c r="B76" s="444" t="s">
        <v>1118</v>
      </c>
      <c r="C76" s="501"/>
      <c r="D76" s="502">
        <v>26</v>
      </c>
    </row>
    <row r="77" spans="1:4" x14ac:dyDescent="0.3">
      <c r="A77" s="501"/>
      <c r="B77" s="501" t="s">
        <v>1039</v>
      </c>
      <c r="C77" s="501"/>
      <c r="D77" s="502"/>
    </row>
    <row r="78" spans="1:4" x14ac:dyDescent="0.3">
      <c r="A78" s="501"/>
      <c r="B78" s="501" t="s">
        <v>1040</v>
      </c>
      <c r="C78" s="501"/>
      <c r="D78" s="502">
        <v>11.4</v>
      </c>
    </row>
    <row r="79" spans="1:4" ht="21.5" x14ac:dyDescent="0.3">
      <c r="A79" s="501"/>
      <c r="B79" s="369" t="s">
        <v>1042</v>
      </c>
      <c r="C79" s="501"/>
      <c r="D79" s="502">
        <v>29.64</v>
      </c>
    </row>
    <row r="80" spans="1:4" ht="26" x14ac:dyDescent="0.3">
      <c r="A80" s="501"/>
      <c r="B80" s="513" t="s">
        <v>1054</v>
      </c>
      <c r="C80" s="501"/>
      <c r="D80" s="502"/>
    </row>
    <row r="81" spans="1:4" x14ac:dyDescent="0.3">
      <c r="A81" s="501"/>
      <c r="B81" s="501" t="s">
        <v>1253</v>
      </c>
      <c r="C81" s="501"/>
      <c r="D81" s="502">
        <v>103.7</v>
      </c>
    </row>
    <row r="82" spans="1:4" x14ac:dyDescent="0.3">
      <c r="A82" s="501"/>
      <c r="B82" s="501" t="s">
        <v>1041</v>
      </c>
      <c r="C82" s="501"/>
      <c r="D82" s="502"/>
    </row>
    <row r="83" spans="1:4" x14ac:dyDescent="0.3">
      <c r="A83" s="501"/>
      <c r="B83" s="501" t="s">
        <v>1043</v>
      </c>
      <c r="C83" s="501"/>
      <c r="D83" s="502"/>
    </row>
    <row r="84" spans="1:4" x14ac:dyDescent="0.3">
      <c r="A84" s="501"/>
      <c r="B84" s="513" t="s">
        <v>1251</v>
      </c>
      <c r="C84" s="501"/>
      <c r="D84" s="502"/>
    </row>
    <row r="85" spans="1:4" x14ac:dyDescent="0.3">
      <c r="A85" s="501"/>
      <c r="B85" s="501" t="s">
        <v>1044</v>
      </c>
      <c r="C85" s="501"/>
      <c r="D85" s="502">
        <v>94</v>
      </c>
    </row>
    <row r="86" spans="1:4" x14ac:dyDescent="0.3">
      <c r="A86" s="501"/>
      <c r="B86" s="745" t="s">
        <v>1254</v>
      </c>
      <c r="C86" s="745"/>
      <c r="D86" s="746">
        <f>249.93-5.54</f>
        <v>244.39000000000001</v>
      </c>
    </row>
    <row r="87" spans="1:4" x14ac:dyDescent="0.3">
      <c r="A87" s="527"/>
      <c r="B87" s="501" t="s">
        <v>1045</v>
      </c>
      <c r="C87" s="501"/>
      <c r="D87" s="502">
        <v>46.25</v>
      </c>
    </row>
    <row r="88" spans="1:4" x14ac:dyDescent="0.3">
      <c r="A88" s="527"/>
      <c r="B88" s="501" t="s">
        <v>1294</v>
      </c>
      <c r="C88" s="501"/>
      <c r="D88" s="502">
        <v>24.33</v>
      </c>
    </row>
    <row r="89" spans="1:4" x14ac:dyDescent="0.3">
      <c r="A89" s="501"/>
      <c r="B89" s="501" t="s">
        <v>189</v>
      </c>
      <c r="C89" s="507">
        <f>SUM(C58:C87)</f>
        <v>0</v>
      </c>
      <c r="D89" s="506">
        <f>SUM(D58:D88)</f>
        <v>2903.4599999999996</v>
      </c>
    </row>
    <row r="91" spans="1:4" x14ac:dyDescent="0.3">
      <c r="A91" s="44" t="s">
        <v>10</v>
      </c>
      <c r="B91" s="525"/>
      <c r="C91" s="44" t="s">
        <v>963</v>
      </c>
    </row>
    <row r="95" spans="1:4" ht="17.5" x14ac:dyDescent="0.35">
      <c r="B95" s="526" t="s">
        <v>1046</v>
      </c>
    </row>
    <row r="97" spans="1:5" ht="26" customHeight="1" x14ac:dyDescent="0.3">
      <c r="A97" s="1473" t="s">
        <v>187</v>
      </c>
      <c r="B97" s="1473" t="s">
        <v>276</v>
      </c>
      <c r="C97" s="510" t="s">
        <v>1030</v>
      </c>
      <c r="D97" s="152" t="s">
        <v>1016</v>
      </c>
      <c r="E97" s="674"/>
    </row>
    <row r="98" spans="1:5" ht="34.5" customHeight="1" x14ac:dyDescent="0.3">
      <c r="A98" s="1474"/>
      <c r="B98" s="1474"/>
      <c r="C98" s="111" t="s">
        <v>1281</v>
      </c>
      <c r="D98" s="111" t="s">
        <v>1282</v>
      </c>
      <c r="E98" s="675"/>
    </row>
    <row r="99" spans="1:5" x14ac:dyDescent="0.3">
      <c r="A99" s="501"/>
      <c r="B99" s="501" t="s">
        <v>346</v>
      </c>
      <c r="C99" s="507">
        <v>2216.44</v>
      </c>
      <c r="D99" s="506">
        <v>1846.34</v>
      </c>
      <c r="E99" s="677"/>
    </row>
    <row r="100" spans="1:5" x14ac:dyDescent="0.3">
      <c r="A100" s="501"/>
      <c r="B100" s="501" t="s">
        <v>1047</v>
      </c>
      <c r="C100" s="507">
        <v>2321.08</v>
      </c>
      <c r="D100" s="506">
        <f>2032.4+D102+D103+D104</f>
        <v>4142.38</v>
      </c>
      <c r="E100" s="677"/>
    </row>
    <row r="101" spans="1:5" x14ac:dyDescent="0.3">
      <c r="A101" s="501" t="s">
        <v>436</v>
      </c>
      <c r="B101" s="501" t="s">
        <v>1049</v>
      </c>
      <c r="C101" s="501"/>
      <c r="D101" s="507">
        <v>792.2</v>
      </c>
      <c r="E101" s="676"/>
    </row>
    <row r="102" spans="1:5" x14ac:dyDescent="0.3">
      <c r="B102" s="501" t="s">
        <v>1050</v>
      </c>
      <c r="C102" s="501"/>
      <c r="D102" s="507">
        <v>1590.86</v>
      </c>
      <c r="E102" s="678"/>
    </row>
    <row r="103" spans="1:5" x14ac:dyDescent="0.3">
      <c r="A103" s="501"/>
      <c r="B103" s="501" t="s">
        <v>1048</v>
      </c>
      <c r="C103" s="501"/>
      <c r="D103" s="507">
        <v>295.63</v>
      </c>
      <c r="E103" s="678"/>
    </row>
    <row r="104" spans="1:5" x14ac:dyDescent="0.3">
      <c r="A104" s="501"/>
      <c r="B104" s="501" t="s">
        <v>1051</v>
      </c>
      <c r="C104" s="507"/>
      <c r="D104" s="507">
        <v>223.49</v>
      </c>
      <c r="E104" s="678"/>
    </row>
    <row r="105" spans="1:5" x14ac:dyDescent="0.3">
      <c r="A105" s="501"/>
      <c r="B105" s="507" t="s">
        <v>189</v>
      </c>
      <c r="C105" s="512">
        <f>C99+C100</f>
        <v>4537.5200000000004</v>
      </c>
      <c r="D105" s="506">
        <f>D99+D100</f>
        <v>5988.72</v>
      </c>
      <c r="E105" s="677"/>
    </row>
    <row r="107" spans="1:5" x14ac:dyDescent="0.3">
      <c r="A107" s="44" t="s">
        <v>10</v>
      </c>
      <c r="B107" s="525"/>
      <c r="C107" s="44" t="s">
        <v>963</v>
      </c>
    </row>
    <row r="108" spans="1:5" ht="17.5" x14ac:dyDescent="0.35">
      <c r="A108" s="526" t="s">
        <v>1052</v>
      </c>
    </row>
    <row r="109" spans="1:5" ht="44.5" customHeight="1" x14ac:dyDescent="0.3">
      <c r="A109" s="1473" t="s">
        <v>187</v>
      </c>
      <c r="B109" s="1473" t="s">
        <v>276</v>
      </c>
      <c r="C109" s="510" t="s">
        <v>1030</v>
      </c>
      <c r="D109" s="152" t="s">
        <v>1016</v>
      </c>
      <c r="E109" s="674"/>
    </row>
    <row r="110" spans="1:5" ht="45.5" customHeight="1" x14ac:dyDescent="0.3">
      <c r="A110" s="1474"/>
      <c r="B110" s="1474"/>
      <c r="C110" s="111" t="s">
        <v>1281</v>
      </c>
      <c r="D110" s="111" t="s">
        <v>1282</v>
      </c>
      <c r="E110" s="675"/>
    </row>
    <row r="111" spans="1:5" x14ac:dyDescent="0.3">
      <c r="A111" s="501"/>
      <c r="B111" s="194" t="s">
        <v>435</v>
      </c>
      <c r="C111" s="507">
        <v>0</v>
      </c>
      <c r="D111" s="501"/>
      <c r="E111" s="676"/>
    </row>
    <row r="112" spans="1:5" x14ac:dyDescent="0.3">
      <c r="A112" s="501"/>
      <c r="B112" s="123" t="s">
        <v>436</v>
      </c>
      <c r="C112" s="507"/>
      <c r="D112" s="501"/>
      <c r="E112" s="676"/>
    </row>
    <row r="113" spans="1:5" x14ac:dyDescent="0.3">
      <c r="A113" s="501"/>
      <c r="B113" s="123" t="s">
        <v>437</v>
      </c>
      <c r="C113" s="501">
        <v>0</v>
      </c>
      <c r="D113" s="501"/>
      <c r="E113" s="676"/>
    </row>
    <row r="114" spans="1:5" x14ac:dyDescent="0.3">
      <c r="A114" s="501"/>
      <c r="B114" s="194" t="s">
        <v>438</v>
      </c>
      <c r="C114" s="507">
        <v>0</v>
      </c>
      <c r="D114" s="507"/>
      <c r="E114" s="678"/>
    </row>
    <row r="115" spans="1:5" x14ac:dyDescent="0.3">
      <c r="A115" s="501"/>
      <c r="B115" s="123" t="s">
        <v>436</v>
      </c>
      <c r="C115" s="501"/>
      <c r="D115" s="501"/>
      <c r="E115" s="676"/>
    </row>
    <row r="116" spans="1:5" x14ac:dyDescent="0.3">
      <c r="A116" s="501"/>
      <c r="B116" s="123" t="s">
        <v>439</v>
      </c>
      <c r="C116" s="501"/>
      <c r="D116" s="501"/>
      <c r="E116" s="676"/>
    </row>
    <row r="117" spans="1:5" x14ac:dyDescent="0.3">
      <c r="A117" s="501"/>
      <c r="B117" s="123" t="s">
        <v>441</v>
      </c>
      <c r="C117" s="507"/>
      <c r="D117" s="501"/>
      <c r="E117" s="676"/>
    </row>
    <row r="118" spans="1:5" x14ac:dyDescent="0.3">
      <c r="A118" s="501"/>
      <c r="B118" s="123" t="s">
        <v>442</v>
      </c>
      <c r="C118" s="501"/>
      <c r="D118" s="501"/>
      <c r="E118" s="676"/>
    </row>
    <row r="119" spans="1:5" x14ac:dyDescent="0.3">
      <c r="A119" s="501"/>
      <c r="B119" s="123" t="s">
        <v>832</v>
      </c>
      <c r="C119" s="501"/>
      <c r="D119" s="501"/>
      <c r="E119" s="676"/>
    </row>
    <row r="120" spans="1:5" x14ac:dyDescent="0.3">
      <c r="A120" s="501"/>
      <c r="B120" s="123" t="s">
        <v>440</v>
      </c>
      <c r="C120" s="501"/>
      <c r="D120" s="501"/>
      <c r="E120" s="676"/>
    </row>
    <row r="121" spans="1:5" ht="21" x14ac:dyDescent="0.3">
      <c r="A121" s="501"/>
      <c r="B121" s="123" t="s">
        <v>443</v>
      </c>
      <c r="C121" s="501"/>
      <c r="D121" s="501"/>
      <c r="E121" s="676"/>
    </row>
    <row r="122" spans="1:5" x14ac:dyDescent="0.3">
      <c r="A122" s="501"/>
      <c r="B122" s="123" t="s">
        <v>444</v>
      </c>
      <c r="C122" s="501"/>
      <c r="D122" s="501"/>
      <c r="E122" s="676"/>
    </row>
    <row r="123" spans="1:5" x14ac:dyDescent="0.3">
      <c r="A123" s="501"/>
      <c r="B123" s="123" t="s">
        <v>445</v>
      </c>
      <c r="C123" s="501"/>
      <c r="D123" s="501"/>
      <c r="E123" s="676"/>
    </row>
    <row r="124" spans="1:5" x14ac:dyDescent="0.3">
      <c r="A124" s="501"/>
      <c r="B124" s="123" t="s">
        <v>446</v>
      </c>
      <c r="C124" s="501"/>
      <c r="D124" s="501"/>
      <c r="E124" s="676"/>
    </row>
    <row r="125" spans="1:5" x14ac:dyDescent="0.3">
      <c r="A125" s="501"/>
      <c r="B125" s="123" t="s">
        <v>447</v>
      </c>
      <c r="C125" s="501"/>
      <c r="D125" s="501"/>
      <c r="E125" s="676"/>
    </row>
    <row r="126" spans="1:5" x14ac:dyDescent="0.3">
      <c r="A126" s="501"/>
      <c r="B126" s="194" t="s">
        <v>448</v>
      </c>
      <c r="C126" s="507">
        <v>142.19999999999999</v>
      </c>
      <c r="D126" s="507">
        <f>D127+D128+D129+D130+D131+D132+D133</f>
        <v>48.54</v>
      </c>
      <c r="E126" s="678"/>
    </row>
    <row r="127" spans="1:5" x14ac:dyDescent="0.3">
      <c r="A127" s="501"/>
      <c r="B127" s="123" t="s">
        <v>449</v>
      </c>
      <c r="C127" s="501"/>
      <c r="D127" s="501"/>
      <c r="E127" s="676"/>
    </row>
    <row r="128" spans="1:5" x14ac:dyDescent="0.3">
      <c r="A128" s="501"/>
      <c r="B128" s="123" t="s">
        <v>450</v>
      </c>
      <c r="C128" s="501"/>
      <c r="D128" s="501"/>
      <c r="E128" s="676"/>
    </row>
    <row r="129" spans="1:5" x14ac:dyDescent="0.3">
      <c r="A129" s="501"/>
      <c r="B129" s="123" t="s">
        <v>743</v>
      </c>
      <c r="C129" s="501"/>
      <c r="D129" s="501"/>
      <c r="E129" s="676"/>
    </row>
    <row r="130" spans="1:5" x14ac:dyDescent="0.3">
      <c r="A130" s="501"/>
      <c r="B130" s="123" t="s">
        <v>451</v>
      </c>
      <c r="C130" s="501"/>
      <c r="D130" s="501"/>
      <c r="E130" s="676"/>
    </row>
    <row r="131" spans="1:5" x14ac:dyDescent="0.3">
      <c r="A131" s="501"/>
      <c r="B131" s="123" t="s">
        <v>452</v>
      </c>
      <c r="C131" s="501"/>
      <c r="D131" s="501">
        <v>43</v>
      </c>
      <c r="E131" s="676"/>
    </row>
    <row r="132" spans="1:5" x14ac:dyDescent="0.3">
      <c r="A132" s="501"/>
      <c r="B132" s="123" t="s">
        <v>453</v>
      </c>
      <c r="C132" s="501"/>
      <c r="D132" s="501"/>
      <c r="E132" s="676"/>
    </row>
    <row r="133" spans="1:5" x14ac:dyDescent="0.3">
      <c r="A133" s="501"/>
      <c r="B133" s="123" t="s">
        <v>1252</v>
      </c>
      <c r="C133" s="501"/>
      <c r="D133" s="501">
        <v>5.54</v>
      </c>
      <c r="E133" s="676"/>
    </row>
    <row r="134" spans="1:5" x14ac:dyDescent="0.3">
      <c r="A134" s="501"/>
      <c r="B134" s="194" t="s">
        <v>454</v>
      </c>
      <c r="C134" s="501"/>
      <c r="D134" s="501"/>
      <c r="E134" s="676"/>
    </row>
    <row r="135" spans="1:5" x14ac:dyDescent="0.3">
      <c r="A135" s="501"/>
      <c r="B135" s="194" t="s">
        <v>455</v>
      </c>
      <c r="C135" s="507">
        <v>53.4</v>
      </c>
      <c r="D135" s="507">
        <f>D139</f>
        <v>49.3</v>
      </c>
      <c r="E135" s="678"/>
    </row>
    <row r="136" spans="1:5" x14ac:dyDescent="0.3">
      <c r="A136" s="501"/>
      <c r="B136" s="123" t="s">
        <v>456</v>
      </c>
      <c r="C136" s="501"/>
      <c r="D136" s="501" t="s">
        <v>1295</v>
      </c>
      <c r="E136" s="626"/>
    </row>
    <row r="137" spans="1:5" x14ac:dyDescent="0.3">
      <c r="A137" s="501"/>
      <c r="B137" s="123" t="s">
        <v>457</v>
      </c>
      <c r="C137" s="501"/>
      <c r="D137" s="501"/>
      <c r="E137" s="676"/>
    </row>
    <row r="138" spans="1:5" x14ac:dyDescent="0.3">
      <c r="A138" s="501"/>
      <c r="B138" s="123" t="s">
        <v>458</v>
      </c>
      <c r="C138" s="501"/>
      <c r="D138" s="501"/>
      <c r="E138" s="676"/>
    </row>
    <row r="139" spans="1:5" x14ac:dyDescent="0.3">
      <c r="A139" s="501"/>
      <c r="B139" s="123" t="s">
        <v>410</v>
      </c>
      <c r="C139" s="501">
        <v>53.4</v>
      </c>
      <c r="D139" s="501">
        <v>49.3</v>
      </c>
      <c r="E139" s="676"/>
    </row>
    <row r="140" spans="1:5" x14ac:dyDescent="0.3">
      <c r="A140" s="501"/>
      <c r="B140" s="123" t="s">
        <v>457</v>
      </c>
      <c r="C140" s="501"/>
      <c r="D140" s="501"/>
      <c r="E140" s="676"/>
    </row>
    <row r="141" spans="1:5" x14ac:dyDescent="0.3">
      <c r="A141" s="501"/>
      <c r="B141" s="123" t="s">
        <v>459</v>
      </c>
      <c r="C141" s="501"/>
      <c r="D141" s="501"/>
      <c r="E141" s="676"/>
    </row>
    <row r="142" spans="1:5" x14ac:dyDescent="0.3">
      <c r="A142" s="501"/>
      <c r="B142" s="123" t="s">
        <v>460</v>
      </c>
      <c r="C142" s="501"/>
      <c r="D142" s="501"/>
      <c r="E142" s="676"/>
    </row>
    <row r="143" spans="1:5" x14ac:dyDescent="0.3">
      <c r="A143" s="501"/>
      <c r="B143" s="123" t="s">
        <v>462</v>
      </c>
      <c r="C143" s="501"/>
      <c r="D143" s="501"/>
      <c r="E143" s="676"/>
    </row>
    <row r="144" spans="1:5" x14ac:dyDescent="0.3">
      <c r="A144" s="501"/>
      <c r="B144" s="194" t="s">
        <v>463</v>
      </c>
      <c r="C144" s="507">
        <v>35.6</v>
      </c>
      <c r="D144" s="501"/>
      <c r="E144" s="676"/>
    </row>
    <row r="145" spans="1:5" x14ac:dyDescent="0.3">
      <c r="A145" s="501"/>
      <c r="B145" s="123" t="s">
        <v>464</v>
      </c>
      <c r="C145" s="501">
        <v>35.6</v>
      </c>
      <c r="D145" s="501"/>
      <c r="E145" s="676"/>
    </row>
    <row r="146" spans="1:5" x14ac:dyDescent="0.3">
      <c r="A146" s="501"/>
      <c r="B146" s="194" t="s">
        <v>465</v>
      </c>
      <c r="C146" s="507">
        <f t="shared" ref="C146:D146" si="1">C111+C114+C126+C135+C144</f>
        <v>231.2</v>
      </c>
      <c r="D146" s="507">
        <f t="shared" si="1"/>
        <v>97.84</v>
      </c>
      <c r="E146" s="678"/>
    </row>
    <row r="148" spans="1:5" x14ac:dyDescent="0.3">
      <c r="A148" s="44" t="s">
        <v>10</v>
      </c>
      <c r="B148" s="525"/>
      <c r="C148" s="44" t="s">
        <v>963</v>
      </c>
    </row>
  </sheetData>
  <mergeCells count="10">
    <mergeCell ref="F2:F3"/>
    <mergeCell ref="A56:A57"/>
    <mergeCell ref="B56:B57"/>
    <mergeCell ref="A97:A98"/>
    <mergeCell ref="B97:B98"/>
    <mergeCell ref="A1:C1"/>
    <mergeCell ref="A2:A3"/>
    <mergeCell ref="B2:B3"/>
    <mergeCell ref="A109:A110"/>
    <mergeCell ref="B109:B110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32" workbookViewId="0">
      <selection activeCell="E59" sqref="E59"/>
    </sheetView>
  </sheetViews>
  <sheetFormatPr defaultRowHeight="14.5" x14ac:dyDescent="0.35"/>
  <cols>
    <col min="1" max="1" width="7" style="41" customWidth="1"/>
    <col min="2" max="2" width="44.1796875" style="41" customWidth="1"/>
    <col min="3" max="3" width="9" style="41" customWidth="1"/>
    <col min="4" max="4" width="9.1796875" style="41" customWidth="1"/>
    <col min="5" max="5" width="8.6328125" style="41" customWidth="1"/>
    <col min="6" max="6" width="8.7265625" style="41" customWidth="1"/>
    <col min="7" max="9" width="8.7265625" style="41"/>
    <col min="10" max="10" width="46" style="41" customWidth="1"/>
    <col min="11" max="11" width="7.36328125" style="41" customWidth="1"/>
    <col min="12" max="16384" width="8.7265625" style="41"/>
  </cols>
  <sheetData>
    <row r="1" spans="1:6" ht="39" x14ac:dyDescent="0.35">
      <c r="B1" s="540" t="s">
        <v>786</v>
      </c>
      <c r="C1" s="540"/>
      <c r="D1" s="540"/>
    </row>
    <row r="2" spans="1:6" x14ac:dyDescent="0.35">
      <c r="B2" s="360" t="s">
        <v>1524</v>
      </c>
      <c r="C2" s="540"/>
      <c r="D2" s="540"/>
      <c r="E2" s="41" t="s">
        <v>339</v>
      </c>
    </row>
    <row r="3" spans="1:6" ht="27.5" customHeight="1" x14ac:dyDescent="0.35">
      <c r="A3" s="103" t="s">
        <v>402</v>
      </c>
      <c r="B3" s="103" t="s">
        <v>188</v>
      </c>
      <c r="C3" s="103" t="s">
        <v>1119</v>
      </c>
      <c r="D3" s="104" t="s">
        <v>1218</v>
      </c>
      <c r="E3" s="103" t="s">
        <v>1107</v>
      </c>
      <c r="F3" s="104" t="s">
        <v>1296</v>
      </c>
    </row>
    <row r="4" spans="1:6" x14ac:dyDescent="0.35">
      <c r="A4" s="103">
        <v>1</v>
      </c>
      <c r="B4" s="83" t="s">
        <v>403</v>
      </c>
      <c r="C4" s="103"/>
      <c r="D4" s="103"/>
      <c r="E4" s="103"/>
      <c r="F4" s="103"/>
    </row>
    <row r="5" spans="1:6" x14ac:dyDescent="0.35">
      <c r="A5" s="580" t="s">
        <v>1120</v>
      </c>
      <c r="B5" s="232" t="s">
        <v>1121</v>
      </c>
      <c r="C5" s="232">
        <v>2154.38</v>
      </c>
      <c r="D5" s="232">
        <f>D6+D9</f>
        <v>2589.1999999999998</v>
      </c>
      <c r="E5" s="232">
        <v>2321.08</v>
      </c>
      <c r="F5" s="103">
        <f>F6+F9</f>
        <v>5381.66</v>
      </c>
    </row>
    <row r="6" spans="1:6" x14ac:dyDescent="0.35">
      <c r="A6" s="576" t="s">
        <v>1122</v>
      </c>
      <c r="B6" s="104" t="s">
        <v>1017</v>
      </c>
      <c r="C6" s="103">
        <v>2154.38</v>
      </c>
      <c r="D6" s="103">
        <v>2271.4499999999998</v>
      </c>
      <c r="E6" s="103">
        <v>2321.08</v>
      </c>
      <c r="F6" s="747">
        <f>F7+F8</f>
        <v>3691.38</v>
      </c>
    </row>
    <row r="7" spans="1:6" x14ac:dyDescent="0.35">
      <c r="A7" s="576" t="s">
        <v>1123</v>
      </c>
      <c r="B7" s="104" t="s">
        <v>973</v>
      </c>
      <c r="C7" s="103">
        <v>1202.6300000000001</v>
      </c>
      <c r="D7" s="103">
        <v>1600.62</v>
      </c>
      <c r="E7" s="103">
        <v>1295.69</v>
      </c>
      <c r="F7" s="103">
        <v>1590.86</v>
      </c>
    </row>
    <row r="8" spans="1:6" x14ac:dyDescent="0.35">
      <c r="A8" s="576" t="s">
        <v>1124</v>
      </c>
      <c r="B8" s="104" t="s">
        <v>1125</v>
      </c>
      <c r="C8" s="103">
        <v>951.75</v>
      </c>
      <c r="D8" s="103">
        <f>D6-D7</f>
        <v>670.82999999999993</v>
      </c>
      <c r="E8" s="103">
        <v>1025.3900000000001</v>
      </c>
      <c r="F8" s="103">
        <v>2100.52</v>
      </c>
    </row>
    <row r="9" spans="1:6" ht="36.5" x14ac:dyDescent="0.35">
      <c r="A9" s="576" t="s">
        <v>1127</v>
      </c>
      <c r="B9" s="104" t="s">
        <v>1126</v>
      </c>
      <c r="C9" s="103">
        <v>0</v>
      </c>
      <c r="D9" s="103">
        <v>317.75</v>
      </c>
      <c r="E9" s="103">
        <v>0</v>
      </c>
      <c r="F9" s="103">
        <v>1690.28</v>
      </c>
    </row>
    <row r="10" spans="1:6" x14ac:dyDescent="0.35">
      <c r="A10" s="579" t="s">
        <v>1128</v>
      </c>
      <c r="B10" s="232" t="s">
        <v>404</v>
      </c>
      <c r="C10" s="573">
        <v>28088.3</v>
      </c>
      <c r="D10" s="232">
        <v>27380.42</v>
      </c>
      <c r="E10" s="573">
        <v>30261.72</v>
      </c>
      <c r="F10" s="747">
        <v>32421.33</v>
      </c>
    </row>
    <row r="11" spans="1:6" ht="33.75" customHeight="1" x14ac:dyDescent="0.35">
      <c r="A11" s="579" t="s">
        <v>1129</v>
      </c>
      <c r="B11" s="232" t="s">
        <v>405</v>
      </c>
      <c r="C11" s="232">
        <v>3620.23</v>
      </c>
      <c r="D11" s="232">
        <f>D12+D13</f>
        <v>4853.1200000000008</v>
      </c>
      <c r="E11" s="232">
        <v>3900.35</v>
      </c>
      <c r="F11" s="232">
        <f>F12+F13</f>
        <v>4806.1900000000005</v>
      </c>
    </row>
    <row r="12" spans="1:6" x14ac:dyDescent="0.35">
      <c r="A12" s="581" t="s">
        <v>1130</v>
      </c>
      <c r="B12" s="104" t="s">
        <v>1131</v>
      </c>
      <c r="C12" s="562">
        <v>2057.3000000000002</v>
      </c>
      <c r="D12" s="103">
        <v>2051.5500000000002</v>
      </c>
      <c r="E12" s="562">
        <v>2216.44</v>
      </c>
      <c r="F12" s="103">
        <v>1846.34</v>
      </c>
    </row>
    <row r="13" spans="1:6" x14ac:dyDescent="0.35">
      <c r="A13" s="581" t="s">
        <v>1132</v>
      </c>
      <c r="B13" s="103" t="s">
        <v>1133</v>
      </c>
      <c r="C13" s="103">
        <v>1562.97</v>
      </c>
      <c r="D13" s="103">
        <v>2801.57</v>
      </c>
      <c r="E13" s="103">
        <v>1683.91</v>
      </c>
      <c r="F13" s="103">
        <f>F14+F15+F16+F17+F18+F19+F20+F21+F22+F23+F25+F26+F24+F27+F28+F29</f>
        <v>2959.8500000000004</v>
      </c>
    </row>
    <row r="14" spans="1:6" x14ac:dyDescent="0.35">
      <c r="A14" s="576" t="s">
        <v>1134</v>
      </c>
      <c r="B14" s="103" t="s">
        <v>279</v>
      </c>
      <c r="C14" s="103">
        <v>213.65</v>
      </c>
      <c r="D14" s="103">
        <v>391.9</v>
      </c>
      <c r="E14" s="103">
        <v>230.18</v>
      </c>
      <c r="F14" s="103">
        <v>389.29</v>
      </c>
    </row>
    <row r="15" spans="1:6" x14ac:dyDescent="0.35">
      <c r="A15" s="577" t="s">
        <v>1148</v>
      </c>
      <c r="B15" s="104" t="s">
        <v>1135</v>
      </c>
      <c r="C15" s="562">
        <v>207.9</v>
      </c>
      <c r="D15" s="103">
        <v>208.9</v>
      </c>
      <c r="E15" s="562">
        <v>223.99</v>
      </c>
      <c r="F15" s="103">
        <v>211.3</v>
      </c>
    </row>
    <row r="16" spans="1:6" ht="15.5" customHeight="1" x14ac:dyDescent="0.35">
      <c r="A16" s="577" t="s">
        <v>1149</v>
      </c>
      <c r="B16" s="103" t="s">
        <v>1136</v>
      </c>
      <c r="C16" s="103">
        <v>68.66</v>
      </c>
      <c r="D16" s="103">
        <v>59.98</v>
      </c>
      <c r="E16" s="103">
        <v>73.97</v>
      </c>
      <c r="F16" s="103">
        <f>29.64+9.3+11.4</f>
        <v>50.339999999999996</v>
      </c>
    </row>
    <row r="17" spans="1:6" ht="16.5" customHeight="1" x14ac:dyDescent="0.35">
      <c r="A17" s="577" t="s">
        <v>1150</v>
      </c>
      <c r="B17" s="104" t="s">
        <v>1137</v>
      </c>
      <c r="C17" s="562">
        <v>125</v>
      </c>
      <c r="D17" s="103">
        <v>66</v>
      </c>
      <c r="E17" s="562">
        <v>134.66999999999999</v>
      </c>
      <c r="F17" s="103"/>
    </row>
    <row r="18" spans="1:6" ht="16.5" customHeight="1" x14ac:dyDescent="0.35">
      <c r="A18" s="577" t="s">
        <v>1151</v>
      </c>
      <c r="B18" s="104" t="s">
        <v>1035</v>
      </c>
      <c r="C18" s="103">
        <v>245.18</v>
      </c>
      <c r="D18" s="103">
        <v>325.2</v>
      </c>
      <c r="E18" s="103">
        <v>264.14999999999998</v>
      </c>
      <c r="F18" s="103">
        <v>411.23</v>
      </c>
    </row>
    <row r="19" spans="1:6" x14ac:dyDescent="0.35">
      <c r="A19" s="577" t="s">
        <v>1152</v>
      </c>
      <c r="B19" s="104" t="s">
        <v>1138</v>
      </c>
      <c r="C19" s="103">
        <v>0</v>
      </c>
      <c r="D19" s="103">
        <v>32.630000000000003</v>
      </c>
      <c r="E19" s="103">
        <v>0</v>
      </c>
      <c r="F19" s="103"/>
    </row>
    <row r="20" spans="1:6" x14ac:dyDescent="0.35">
      <c r="A20" s="577" t="s">
        <v>1153</v>
      </c>
      <c r="B20" s="104" t="s">
        <v>1139</v>
      </c>
      <c r="C20" s="103">
        <v>0</v>
      </c>
      <c r="D20" s="103"/>
      <c r="E20" s="103">
        <v>0</v>
      </c>
      <c r="F20" s="103"/>
    </row>
    <row r="21" spans="1:6" x14ac:dyDescent="0.35">
      <c r="A21" s="577" t="s">
        <v>1154</v>
      </c>
      <c r="B21" s="104" t="s">
        <v>1140</v>
      </c>
      <c r="C21" s="103">
        <v>0</v>
      </c>
      <c r="D21" s="103"/>
      <c r="E21" s="103">
        <v>0</v>
      </c>
      <c r="F21" s="103"/>
    </row>
    <row r="22" spans="1:6" x14ac:dyDescent="0.35">
      <c r="A22" s="577" t="s">
        <v>1155</v>
      </c>
      <c r="B22" s="104" t="s">
        <v>1141</v>
      </c>
      <c r="C22" s="103">
        <v>0</v>
      </c>
      <c r="D22" s="103"/>
      <c r="E22" s="103">
        <v>0</v>
      </c>
      <c r="F22" s="103"/>
    </row>
    <row r="23" spans="1:6" ht="29" x14ac:dyDescent="0.35">
      <c r="A23" s="577" t="s">
        <v>1156</v>
      </c>
      <c r="B23" s="104" t="s">
        <v>1143</v>
      </c>
      <c r="C23" s="103">
        <v>0</v>
      </c>
      <c r="D23" s="103"/>
      <c r="E23" s="103">
        <v>0</v>
      </c>
      <c r="F23" s="103"/>
    </row>
    <row r="24" spans="1:6" ht="29" x14ac:dyDescent="0.35">
      <c r="A24" s="577" t="s">
        <v>1157</v>
      </c>
      <c r="B24" s="104" t="s">
        <v>1142</v>
      </c>
      <c r="C24" s="103">
        <v>129.13999999999999</v>
      </c>
      <c r="D24" s="103">
        <v>544.87</v>
      </c>
      <c r="E24" s="103">
        <v>139.13</v>
      </c>
      <c r="F24" s="103">
        <f>160.13+63.53</f>
        <v>223.66</v>
      </c>
    </row>
    <row r="25" spans="1:6" x14ac:dyDescent="0.35">
      <c r="A25" s="577" t="s">
        <v>1158</v>
      </c>
      <c r="B25" s="570" t="s">
        <v>1144</v>
      </c>
      <c r="C25" s="103">
        <v>126</v>
      </c>
      <c r="D25" s="103">
        <v>250.1</v>
      </c>
      <c r="E25" s="103">
        <v>135.75</v>
      </c>
      <c r="F25" s="103">
        <v>223.03</v>
      </c>
    </row>
    <row r="26" spans="1:6" x14ac:dyDescent="0.35">
      <c r="A26" s="577" t="s">
        <v>1159</v>
      </c>
      <c r="B26" s="570" t="s">
        <v>1145</v>
      </c>
      <c r="C26" s="103">
        <v>40</v>
      </c>
      <c r="D26" s="103">
        <v>51.63</v>
      </c>
      <c r="E26" s="103">
        <v>43.1</v>
      </c>
      <c r="F26" s="103">
        <v>56.39</v>
      </c>
    </row>
    <row r="27" spans="1:6" x14ac:dyDescent="0.35">
      <c r="A27" s="577" t="s">
        <v>1160</v>
      </c>
      <c r="B27" s="104" t="s">
        <v>1146</v>
      </c>
      <c r="C27" s="103">
        <v>0</v>
      </c>
      <c r="D27" s="103"/>
      <c r="E27" s="103">
        <v>0</v>
      </c>
      <c r="F27" s="103"/>
    </row>
    <row r="28" spans="1:6" ht="14" customHeight="1" x14ac:dyDescent="0.35">
      <c r="A28" s="577" t="s">
        <v>1161</v>
      </c>
      <c r="B28" s="104" t="s">
        <v>1147</v>
      </c>
      <c r="C28" s="103">
        <v>0</v>
      </c>
      <c r="D28" s="103"/>
      <c r="E28" s="103">
        <v>0</v>
      </c>
      <c r="F28" s="103"/>
    </row>
    <row r="29" spans="1:6" ht="14" customHeight="1" x14ac:dyDescent="0.35">
      <c r="A29" s="577" t="s">
        <v>1162</v>
      </c>
      <c r="B29" s="104" t="s">
        <v>406</v>
      </c>
      <c r="C29" s="105">
        <v>407.45</v>
      </c>
      <c r="D29" s="103">
        <v>870.36</v>
      </c>
      <c r="E29" s="625">
        <v>438.98</v>
      </c>
      <c r="F29" s="103">
        <v>1394.61</v>
      </c>
    </row>
    <row r="30" spans="1:6" ht="14" customHeight="1" x14ac:dyDescent="0.35">
      <c r="A30" s="582" t="s">
        <v>940</v>
      </c>
      <c r="B30" s="584" t="s">
        <v>1163</v>
      </c>
      <c r="C30" s="573">
        <v>53.4</v>
      </c>
      <c r="D30" s="232">
        <v>51.2</v>
      </c>
      <c r="E30" s="573">
        <v>57.5</v>
      </c>
      <c r="F30" s="573">
        <f>F31+F34</f>
        <v>54.839999999999996</v>
      </c>
    </row>
    <row r="31" spans="1:6" ht="14" customHeight="1" x14ac:dyDescent="0.35">
      <c r="A31" s="577" t="s">
        <v>1168</v>
      </c>
      <c r="B31" s="104" t="s">
        <v>1164</v>
      </c>
      <c r="C31" s="562">
        <v>53.4</v>
      </c>
      <c r="D31" s="103">
        <v>51.2</v>
      </c>
      <c r="E31" s="562">
        <v>57.5</v>
      </c>
      <c r="F31" s="562">
        <v>49.3</v>
      </c>
    </row>
    <row r="32" spans="1:6" ht="14" customHeight="1" x14ac:dyDescent="0.35">
      <c r="A32" s="577" t="s">
        <v>1169</v>
      </c>
      <c r="B32" s="104" t="s">
        <v>1165</v>
      </c>
      <c r="C32" s="562">
        <v>0</v>
      </c>
      <c r="D32" s="103"/>
      <c r="E32" s="562">
        <v>0</v>
      </c>
      <c r="F32" s="103"/>
    </row>
    <row r="33" spans="1:14" ht="30" customHeight="1" x14ac:dyDescent="0.35">
      <c r="A33" s="577" t="s">
        <v>1170</v>
      </c>
      <c r="B33" s="104" t="s">
        <v>1166</v>
      </c>
      <c r="C33" s="562">
        <v>0</v>
      </c>
      <c r="D33" s="103"/>
      <c r="E33" s="562">
        <v>0</v>
      </c>
      <c r="F33" s="103"/>
    </row>
    <row r="34" spans="1:14" ht="30" customHeight="1" x14ac:dyDescent="0.35">
      <c r="A34" s="577" t="s">
        <v>1171</v>
      </c>
      <c r="B34" s="104" t="s">
        <v>1167</v>
      </c>
      <c r="C34" s="562">
        <v>0</v>
      </c>
      <c r="D34" s="103"/>
      <c r="E34" s="562">
        <v>0</v>
      </c>
      <c r="F34" s="103">
        <v>5.54</v>
      </c>
    </row>
    <row r="35" spans="1:14" ht="13" customHeight="1" x14ac:dyDescent="0.35">
      <c r="A35" s="583" t="s">
        <v>1172</v>
      </c>
      <c r="B35" s="584" t="s">
        <v>1173</v>
      </c>
      <c r="C35" s="573">
        <v>142.22999999999999</v>
      </c>
      <c r="D35" s="232">
        <v>68.400000000000006</v>
      </c>
      <c r="E35" s="573">
        <v>153.22999999999999</v>
      </c>
      <c r="F35" s="232">
        <v>43</v>
      </c>
    </row>
    <row r="36" spans="1:14" x14ac:dyDescent="0.35">
      <c r="A36" s="577" t="s">
        <v>1178</v>
      </c>
      <c r="B36" s="104" t="s">
        <v>1174</v>
      </c>
      <c r="C36" s="562">
        <v>0</v>
      </c>
      <c r="D36" s="103"/>
      <c r="E36" s="562">
        <v>0</v>
      </c>
      <c r="F36" s="103"/>
    </row>
    <row r="37" spans="1:14" ht="29" x14ac:dyDescent="0.35">
      <c r="A37" s="577" t="s">
        <v>1179</v>
      </c>
      <c r="B37" s="104" t="s">
        <v>1175</v>
      </c>
      <c r="C37" s="562">
        <v>142.22999999999999</v>
      </c>
      <c r="D37" s="103">
        <v>68.400000000000006</v>
      </c>
      <c r="E37" s="562">
        <v>153.22999999999999</v>
      </c>
      <c r="F37" s="103">
        <v>43</v>
      </c>
    </row>
    <row r="38" spans="1:14" ht="16" customHeight="1" x14ac:dyDescent="0.35">
      <c r="A38" s="577" t="s">
        <v>1180</v>
      </c>
      <c r="B38" s="104" t="s">
        <v>1176</v>
      </c>
      <c r="C38" s="562">
        <v>0</v>
      </c>
      <c r="D38" s="103"/>
      <c r="E38" s="562">
        <v>0</v>
      </c>
      <c r="F38" s="103"/>
    </row>
    <row r="39" spans="1:14" x14ac:dyDescent="0.35">
      <c r="A39" s="577" t="s">
        <v>1181</v>
      </c>
      <c r="B39" s="104" t="s">
        <v>1177</v>
      </c>
      <c r="C39" s="562">
        <v>0</v>
      </c>
      <c r="D39" s="103"/>
      <c r="E39" s="562">
        <v>0</v>
      </c>
      <c r="F39" s="103"/>
      <c r="I39" s="192"/>
      <c r="J39" s="192"/>
      <c r="K39" s="192"/>
      <c r="L39" s="192"/>
      <c r="M39" s="192"/>
      <c r="N39" s="192"/>
    </row>
    <row r="40" spans="1:14" x14ac:dyDescent="0.35">
      <c r="A40" s="577"/>
      <c r="B40" s="113" t="s">
        <v>407</v>
      </c>
      <c r="C40" s="573">
        <f>C5+C10+C11+C30+C35</f>
        <v>34058.540000000008</v>
      </c>
      <c r="D40" s="573">
        <f>D5+D10+D11+D30+D35</f>
        <v>34942.339999999997</v>
      </c>
      <c r="E40" s="573">
        <f>E5+E10+E11+E30+E35</f>
        <v>36693.880000000005</v>
      </c>
      <c r="F40" s="573">
        <f>F5+F10+F11+F30+F35</f>
        <v>42707.020000000004</v>
      </c>
      <c r="I40" s="192"/>
      <c r="J40" s="192"/>
      <c r="K40" s="192"/>
      <c r="L40" s="192"/>
      <c r="M40" s="192"/>
      <c r="N40" s="192"/>
    </row>
    <row r="41" spans="1:14" x14ac:dyDescent="0.35">
      <c r="A41" s="578"/>
      <c r="B41" s="571"/>
      <c r="C41" s="571"/>
      <c r="D41" s="571"/>
      <c r="E41" s="572"/>
      <c r="I41" s="192"/>
      <c r="J41" s="192"/>
      <c r="K41" s="192"/>
      <c r="L41" s="192"/>
      <c r="M41" s="192"/>
      <c r="N41" s="192"/>
    </row>
    <row r="42" spans="1:14" x14ac:dyDescent="0.35">
      <c r="A42" s="578"/>
      <c r="B42" s="571"/>
      <c r="C42" s="571"/>
      <c r="D42" s="571"/>
      <c r="E42" s="572"/>
      <c r="I42" s="192"/>
      <c r="J42" s="192"/>
      <c r="K42" s="192"/>
      <c r="L42" s="192"/>
      <c r="M42" s="192"/>
      <c r="N42" s="192"/>
    </row>
    <row r="43" spans="1:14" x14ac:dyDescent="0.35">
      <c r="A43" s="578"/>
      <c r="B43" s="571"/>
      <c r="C43" s="571"/>
      <c r="D43" s="571"/>
      <c r="E43" s="572"/>
      <c r="I43" s="192"/>
      <c r="J43" s="192"/>
      <c r="K43" s="192"/>
      <c r="L43" s="192"/>
      <c r="M43" s="192"/>
      <c r="N43" s="192"/>
    </row>
    <row r="44" spans="1:14" x14ac:dyDescent="0.35">
      <c r="A44" s="578"/>
      <c r="B44" s="571"/>
      <c r="C44" s="571"/>
      <c r="D44" s="571"/>
      <c r="E44" s="572"/>
    </row>
    <row r="45" spans="1:14" x14ac:dyDescent="0.35">
      <c r="A45" s="578"/>
      <c r="B45" s="571"/>
      <c r="C45" s="571"/>
      <c r="D45" s="571"/>
      <c r="E45" s="572"/>
    </row>
    <row r="46" spans="1:14" ht="29" customHeight="1" x14ac:dyDescent="0.35">
      <c r="A46" s="577"/>
      <c r="B46" s="585" t="s">
        <v>408</v>
      </c>
      <c r="C46" s="103" t="s">
        <v>339</v>
      </c>
      <c r="D46" s="104" t="s">
        <v>1218</v>
      </c>
      <c r="E46" s="103" t="s">
        <v>1107</v>
      </c>
      <c r="F46" s="104" t="s">
        <v>1296</v>
      </c>
    </row>
    <row r="47" spans="1:14" x14ac:dyDescent="0.35">
      <c r="A47" s="103" t="s">
        <v>402</v>
      </c>
      <c r="B47" s="103" t="s">
        <v>188</v>
      </c>
      <c r="C47" s="103" t="s">
        <v>1119</v>
      </c>
      <c r="D47" s="103"/>
      <c r="E47" s="103" t="s">
        <v>1107</v>
      </c>
      <c r="F47" s="103"/>
    </row>
    <row r="48" spans="1:14" x14ac:dyDescent="0.35">
      <c r="A48" s="577" t="s">
        <v>1182</v>
      </c>
      <c r="B48" s="586" t="s">
        <v>1183</v>
      </c>
      <c r="C48" s="103">
        <v>5528.72</v>
      </c>
      <c r="D48" s="103">
        <v>9074.0499999999993</v>
      </c>
      <c r="E48" s="103">
        <v>9557.8700000000008</v>
      </c>
      <c r="F48" s="103">
        <v>9197.2800000000007</v>
      </c>
    </row>
    <row r="49" spans="1:14" x14ac:dyDescent="0.35">
      <c r="A49" s="577" t="s">
        <v>1184</v>
      </c>
      <c r="B49" s="104" t="s">
        <v>1185</v>
      </c>
      <c r="C49" s="103">
        <v>0</v>
      </c>
      <c r="D49" s="103"/>
      <c r="E49" s="103">
        <v>0</v>
      </c>
      <c r="F49" s="103">
        <v>37.01</v>
      </c>
    </row>
    <row r="50" spans="1:14" s="192" customFormat="1" x14ac:dyDescent="0.35">
      <c r="A50" s="577" t="s">
        <v>1188</v>
      </c>
      <c r="B50" s="104" t="s">
        <v>1186</v>
      </c>
      <c r="C50" s="103">
        <v>136.43</v>
      </c>
      <c r="D50" s="103">
        <v>180.35</v>
      </c>
      <c r="E50" s="103">
        <v>203.25</v>
      </c>
      <c r="F50" s="103">
        <v>192.07</v>
      </c>
      <c r="I50" s="41"/>
      <c r="J50" s="41"/>
      <c r="K50" s="41"/>
      <c r="L50" s="41"/>
      <c r="M50" s="41"/>
      <c r="N50" s="41"/>
    </row>
    <row r="51" spans="1:14" s="192" customFormat="1" x14ac:dyDescent="0.35">
      <c r="A51" s="577" t="s">
        <v>1189</v>
      </c>
      <c r="B51" s="104" t="s">
        <v>1187</v>
      </c>
      <c r="C51" s="103">
        <v>0</v>
      </c>
      <c r="D51" s="103"/>
      <c r="E51" s="103">
        <v>0</v>
      </c>
      <c r="F51" s="103"/>
      <c r="I51" s="41"/>
      <c r="J51" s="41"/>
      <c r="K51" s="41"/>
      <c r="L51" s="41"/>
      <c r="M51" s="41"/>
      <c r="N51" s="41"/>
    </row>
    <row r="52" spans="1:14" s="192" customFormat="1" x14ac:dyDescent="0.35">
      <c r="A52" s="577" t="s">
        <v>1190</v>
      </c>
      <c r="B52" s="104" t="s">
        <v>1191</v>
      </c>
      <c r="C52" s="103">
        <v>3034.88</v>
      </c>
      <c r="D52" s="103">
        <v>1959.36</v>
      </c>
      <c r="E52" s="103">
        <f>E54+E55+E56</f>
        <v>3545.38</v>
      </c>
      <c r="F52" s="103">
        <f>F54+F55+F56</f>
        <v>2932.9300000000003</v>
      </c>
      <c r="I52" s="41"/>
      <c r="J52" s="41"/>
      <c r="K52" s="41"/>
      <c r="L52" s="41"/>
      <c r="M52" s="41"/>
      <c r="N52" s="41"/>
    </row>
    <row r="53" spans="1:14" s="192" customFormat="1" x14ac:dyDescent="0.35">
      <c r="A53" s="577" t="s">
        <v>1194</v>
      </c>
      <c r="B53" s="104" t="s">
        <v>1192</v>
      </c>
      <c r="C53" s="103">
        <v>0</v>
      </c>
      <c r="D53" s="103"/>
      <c r="E53" s="103">
        <v>0</v>
      </c>
      <c r="F53" s="103"/>
      <c r="I53" s="41"/>
      <c r="J53" s="41"/>
      <c r="K53" s="41"/>
      <c r="L53" s="41"/>
      <c r="M53" s="41"/>
      <c r="N53" s="41"/>
    </row>
    <row r="54" spans="1:14" s="192" customFormat="1" x14ac:dyDescent="0.35">
      <c r="A54" s="577" t="s">
        <v>1195</v>
      </c>
      <c r="B54" s="104" t="s">
        <v>1032</v>
      </c>
      <c r="C54" s="103">
        <v>39.71</v>
      </c>
      <c r="D54" s="103">
        <v>44.93</v>
      </c>
      <c r="E54" s="103">
        <v>45.55</v>
      </c>
      <c r="F54" s="103">
        <v>46.9</v>
      </c>
      <c r="I54" s="41"/>
      <c r="J54" s="41"/>
      <c r="K54" s="41"/>
      <c r="L54" s="41"/>
      <c r="M54" s="41"/>
      <c r="N54" s="41"/>
    </row>
    <row r="55" spans="1:14" x14ac:dyDescent="0.35">
      <c r="A55" s="577" t="s">
        <v>1196</v>
      </c>
      <c r="B55" s="104" t="s">
        <v>1193</v>
      </c>
      <c r="C55" s="103">
        <v>0</v>
      </c>
      <c r="D55" s="103">
        <v>33.1</v>
      </c>
      <c r="E55" s="103">
        <v>19.100000000000001</v>
      </c>
      <c r="F55" s="103">
        <v>18.63</v>
      </c>
    </row>
    <row r="56" spans="1:14" x14ac:dyDescent="0.35">
      <c r="A56" s="577" t="s">
        <v>1197</v>
      </c>
      <c r="B56" s="104" t="s">
        <v>1033</v>
      </c>
      <c r="C56" s="103">
        <v>2995.17</v>
      </c>
      <c r="D56" s="103">
        <v>1881.33</v>
      </c>
      <c r="E56" s="103">
        <v>3480.73</v>
      </c>
      <c r="F56" s="103">
        <v>2867.4</v>
      </c>
    </row>
    <row r="57" spans="1:14" x14ac:dyDescent="0.35">
      <c r="A57" s="577" t="s">
        <v>1198</v>
      </c>
      <c r="B57" s="104" t="s">
        <v>1199</v>
      </c>
      <c r="C57" s="103">
        <v>8538.84</v>
      </c>
      <c r="D57" s="103">
        <v>7794</v>
      </c>
      <c r="E57" s="103">
        <v>9199.56</v>
      </c>
      <c r="F57" s="747">
        <v>9289.61</v>
      </c>
    </row>
    <row r="58" spans="1:14" x14ac:dyDescent="0.35">
      <c r="A58" s="577" t="s">
        <v>1200</v>
      </c>
      <c r="B58" s="104" t="s">
        <v>409</v>
      </c>
      <c r="C58" s="103"/>
      <c r="D58" s="103"/>
      <c r="E58" s="103"/>
      <c r="F58" s="103"/>
    </row>
    <row r="59" spans="1:14" x14ac:dyDescent="0.35">
      <c r="A59" s="577" t="s">
        <v>1207</v>
      </c>
      <c r="B59" s="104" t="s">
        <v>1201</v>
      </c>
      <c r="C59" s="103">
        <v>35.6</v>
      </c>
      <c r="D59" s="103"/>
      <c r="E59" s="103">
        <v>1540.51</v>
      </c>
      <c r="F59" s="103"/>
    </row>
    <row r="60" spans="1:14" ht="29" x14ac:dyDescent="0.35">
      <c r="A60" s="577" t="s">
        <v>1208</v>
      </c>
      <c r="B60" s="104" t="s">
        <v>1219</v>
      </c>
      <c r="C60" s="103">
        <v>1755.42</v>
      </c>
      <c r="D60" s="103"/>
      <c r="E60" s="103">
        <v>1849.82</v>
      </c>
      <c r="F60" s="103"/>
    </row>
    <row r="61" spans="1:14" x14ac:dyDescent="0.35">
      <c r="A61" s="577" t="s">
        <v>1209</v>
      </c>
      <c r="B61" s="104" t="s">
        <v>1202</v>
      </c>
      <c r="C61" s="103">
        <v>10947.46</v>
      </c>
      <c r="D61" s="103">
        <v>4680</v>
      </c>
      <c r="E61" s="103">
        <v>10947.46</v>
      </c>
      <c r="F61" s="103">
        <v>5891.47</v>
      </c>
    </row>
    <row r="62" spans="1:14" ht="29" x14ac:dyDescent="0.35">
      <c r="A62" s="577" t="s">
        <v>1210</v>
      </c>
      <c r="B62" s="104" t="s">
        <v>1203</v>
      </c>
      <c r="C62" s="103">
        <v>0</v>
      </c>
      <c r="D62" s="103"/>
      <c r="E62" s="103">
        <v>0</v>
      </c>
      <c r="F62" s="103"/>
    </row>
    <row r="63" spans="1:14" ht="29" x14ac:dyDescent="0.35">
      <c r="A63" s="577" t="s">
        <v>1211</v>
      </c>
      <c r="B63" s="104" t="s">
        <v>1204</v>
      </c>
      <c r="C63" s="103">
        <v>10947.46</v>
      </c>
      <c r="D63" s="103">
        <v>4680</v>
      </c>
      <c r="E63" s="103">
        <v>10947.46</v>
      </c>
      <c r="F63" s="103">
        <v>5891.47</v>
      </c>
    </row>
    <row r="64" spans="1:14" x14ac:dyDescent="0.35">
      <c r="A64" s="577" t="s">
        <v>1212</v>
      </c>
      <c r="B64" s="104" t="s">
        <v>1205</v>
      </c>
      <c r="C64" s="103">
        <v>0</v>
      </c>
      <c r="D64" s="103"/>
      <c r="E64" s="103">
        <v>0</v>
      </c>
      <c r="F64" s="103"/>
    </row>
    <row r="65" spans="1:14" x14ac:dyDescent="0.35">
      <c r="A65" s="577" t="s">
        <v>1213</v>
      </c>
      <c r="B65" s="104" t="s">
        <v>1206</v>
      </c>
      <c r="C65" s="103">
        <v>0</v>
      </c>
      <c r="D65" s="103"/>
      <c r="E65" s="103">
        <v>6008.8</v>
      </c>
      <c r="F65" s="103"/>
    </row>
    <row r="66" spans="1:14" x14ac:dyDescent="0.35">
      <c r="A66" s="577"/>
      <c r="B66" s="113" t="s">
        <v>411</v>
      </c>
      <c r="C66" s="232">
        <f>C48+C49+C50+C51+C52+C57+C59+C60+C61+C64+C65</f>
        <v>29977.35</v>
      </c>
      <c r="D66" s="232">
        <f>D48+D49+D50+D51+D52+D57+D59+D60+D61+D64+D65</f>
        <v>23687.760000000002</v>
      </c>
      <c r="E66" s="232">
        <f>E48+E49+E50+E51+E52+E57+E59+E60+E61+E64+E65</f>
        <v>42852.649999999994</v>
      </c>
      <c r="F66" s="232">
        <f>F48+F49+F50+F51+F52+F57+F59+F60+F61+F64+F65</f>
        <v>27540.370000000003</v>
      </c>
      <c r="I66" s="192"/>
      <c r="J66" s="192"/>
      <c r="K66" s="192"/>
      <c r="L66" s="192"/>
      <c r="M66" s="192"/>
      <c r="N66" s="192"/>
    </row>
    <row r="67" spans="1:14" x14ac:dyDescent="0.35">
      <c r="A67" s="578"/>
      <c r="B67" s="571"/>
      <c r="C67" s="571"/>
      <c r="D67" s="571"/>
      <c r="E67" s="435"/>
      <c r="I67" s="192"/>
      <c r="J67" s="192"/>
      <c r="K67" s="192"/>
      <c r="L67" s="192"/>
      <c r="M67" s="192"/>
      <c r="N67" s="192"/>
    </row>
    <row r="68" spans="1:14" x14ac:dyDescent="0.35">
      <c r="A68" s="1303" t="s">
        <v>1214</v>
      </c>
      <c r="B68" s="1304"/>
      <c r="C68" s="1304"/>
      <c r="D68" s="1304"/>
      <c r="E68" s="1304"/>
    </row>
    <row r="69" spans="1:14" ht="43.5" x14ac:dyDescent="0.35">
      <c r="A69" s="577" t="s">
        <v>1215</v>
      </c>
      <c r="B69" s="104" t="s">
        <v>1214</v>
      </c>
      <c r="C69" s="103">
        <v>696.75</v>
      </c>
      <c r="D69" s="103"/>
      <c r="E69" s="103"/>
      <c r="F69" s="103"/>
    </row>
    <row r="70" spans="1:14" ht="15.5" x14ac:dyDescent="0.35">
      <c r="A70" s="577" t="s">
        <v>1216</v>
      </c>
      <c r="B70" s="587" t="s">
        <v>1217</v>
      </c>
      <c r="C70" s="573">
        <f>C40+C66+C69</f>
        <v>64732.640000000007</v>
      </c>
      <c r="D70" s="573">
        <f>D40+D66+D69</f>
        <v>58630.1</v>
      </c>
      <c r="E70" s="573">
        <f>E40+E66+E69</f>
        <v>79546.53</v>
      </c>
      <c r="F70" s="573">
        <f>F40+F66+F69</f>
        <v>70247.390000000014</v>
      </c>
    </row>
    <row r="72" spans="1:14" ht="12" customHeight="1" x14ac:dyDescent="0.35"/>
    <row r="73" spans="1:14" ht="15" customHeight="1" x14ac:dyDescent="0.35">
      <c r="A73" s="44" t="s">
        <v>10</v>
      </c>
      <c r="B73" s="525"/>
      <c r="C73" s="44" t="s">
        <v>963</v>
      </c>
      <c r="D73" s="44"/>
    </row>
    <row r="77" spans="1:14" s="192" customFormat="1" x14ac:dyDescent="0.35">
      <c r="A77" s="41"/>
      <c r="B77" s="41"/>
      <c r="C77" s="41"/>
      <c r="D77" s="41"/>
      <c r="E77" s="41"/>
      <c r="I77" s="41"/>
      <c r="J77" s="41"/>
      <c r="K77" s="41"/>
      <c r="L77" s="41"/>
      <c r="M77" s="41"/>
      <c r="N77" s="41"/>
    </row>
    <row r="78" spans="1:14" s="192" customFormat="1" ht="27.5" customHeight="1" x14ac:dyDescent="0.35">
      <c r="A78" s="41"/>
      <c r="B78" s="41"/>
      <c r="C78" s="41"/>
      <c r="D78" s="41"/>
      <c r="E78" s="41"/>
      <c r="I78" s="41"/>
      <c r="J78" s="41"/>
      <c r="K78" s="41"/>
      <c r="L78" s="41"/>
      <c r="M78" s="41"/>
      <c r="N78" s="41"/>
    </row>
  </sheetData>
  <mergeCells count="1">
    <mergeCell ref="A68:E68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14" sqref="B14"/>
    </sheetView>
  </sheetViews>
  <sheetFormatPr defaultRowHeight="14.5" x14ac:dyDescent="0.35"/>
  <cols>
    <col min="1" max="1" width="47.36328125" customWidth="1"/>
    <col min="2" max="2" width="12.36328125" customWidth="1"/>
  </cols>
  <sheetData>
    <row r="1" spans="1:10" ht="18.5" x14ac:dyDescent="0.45">
      <c r="A1" s="1480" t="s">
        <v>1110</v>
      </c>
      <c r="B1" s="1480"/>
      <c r="C1" s="1480"/>
      <c r="D1" s="575"/>
      <c r="E1" s="575"/>
      <c r="F1" s="575"/>
      <c r="G1" s="575"/>
      <c r="H1" s="575"/>
      <c r="I1" s="575"/>
      <c r="J1" s="575"/>
    </row>
    <row r="2" spans="1:10" x14ac:dyDescent="0.35">
      <c r="A2" s="1471" t="s">
        <v>1111</v>
      </c>
      <c r="B2" s="1471"/>
      <c r="C2" s="1471"/>
      <c r="D2" s="528"/>
      <c r="E2" s="528"/>
      <c r="F2" s="528"/>
      <c r="G2" s="528"/>
      <c r="H2" s="528"/>
      <c r="I2" s="528"/>
      <c r="J2" s="528"/>
    </row>
    <row r="3" spans="1:10" x14ac:dyDescent="0.35">
      <c r="A3" s="1471" t="s">
        <v>1297</v>
      </c>
      <c r="B3" s="1471"/>
      <c r="C3" s="1471"/>
    </row>
    <row r="5" spans="1:10" x14ac:dyDescent="0.35">
      <c r="C5" t="s">
        <v>339</v>
      </c>
    </row>
    <row r="7" spans="1:10" x14ac:dyDescent="0.35">
      <c r="A7" s="38" t="s">
        <v>1298</v>
      </c>
      <c r="B7" s="38">
        <v>102248</v>
      </c>
    </row>
    <row r="8" spans="1:10" x14ac:dyDescent="0.35">
      <c r="A8" s="38" t="s">
        <v>1112</v>
      </c>
      <c r="B8" s="38"/>
    </row>
    <row r="9" spans="1:10" x14ac:dyDescent="0.35">
      <c r="A9" s="38" t="s">
        <v>710</v>
      </c>
      <c r="B9" s="38">
        <v>97994</v>
      </c>
    </row>
    <row r="10" spans="1:10" x14ac:dyDescent="0.35">
      <c r="A10" s="38" t="s">
        <v>1113</v>
      </c>
      <c r="B10" s="103">
        <v>211</v>
      </c>
    </row>
    <row r="11" spans="1:10" x14ac:dyDescent="0.35">
      <c r="A11" s="38" t="s">
        <v>1114</v>
      </c>
      <c r="B11" s="103">
        <f>B7-B9-B10</f>
        <v>4043</v>
      </c>
    </row>
    <row r="14" spans="1:10" x14ac:dyDescent="0.35">
      <c r="A14" t="s">
        <v>1351</v>
      </c>
      <c r="B14">
        <f>43+5.54+49.3</f>
        <v>97.84</v>
      </c>
    </row>
    <row r="18" spans="1:1" x14ac:dyDescent="0.35">
      <c r="A18" t="s">
        <v>1115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E14" sqref="E14"/>
    </sheetView>
  </sheetViews>
  <sheetFormatPr defaultRowHeight="14.5" x14ac:dyDescent="0.35"/>
  <cols>
    <col min="1" max="1" width="36.90625" customWidth="1"/>
    <col min="2" max="2" width="12.81640625" customWidth="1"/>
  </cols>
  <sheetData>
    <row r="2" spans="1:2" x14ac:dyDescent="0.35">
      <c r="A2" s="1481" t="s">
        <v>1352</v>
      </c>
      <c r="B2" s="1481"/>
    </row>
    <row r="3" spans="1:2" x14ac:dyDescent="0.35">
      <c r="A3" s="1481" t="s">
        <v>1353</v>
      </c>
      <c r="B3" s="1481"/>
    </row>
    <row r="4" spans="1:2" x14ac:dyDescent="0.35">
      <c r="A4" s="1481" t="s">
        <v>1354</v>
      </c>
      <c r="B4" s="1481"/>
    </row>
    <row r="5" spans="1:2" x14ac:dyDescent="0.35">
      <c r="A5" s="1481" t="s">
        <v>1355</v>
      </c>
      <c r="B5" s="1481"/>
    </row>
    <row r="6" spans="1:2" x14ac:dyDescent="0.35">
      <c r="A6" s="693"/>
      <c r="B6" s="693"/>
    </row>
    <row r="7" spans="1:2" x14ac:dyDescent="0.35">
      <c r="A7" s="693"/>
      <c r="B7" s="693"/>
    </row>
    <row r="8" spans="1:2" x14ac:dyDescent="0.35">
      <c r="B8" t="s">
        <v>1360</v>
      </c>
    </row>
    <row r="9" spans="1:2" x14ac:dyDescent="0.35">
      <c r="A9" s="38" t="s">
        <v>1356</v>
      </c>
      <c r="B9" s="38">
        <v>0.40400000000000003</v>
      </c>
    </row>
    <row r="10" spans="1:2" x14ac:dyDescent="0.35">
      <c r="A10" s="38" t="s">
        <v>1357</v>
      </c>
      <c r="B10" s="38">
        <v>2</v>
      </c>
    </row>
    <row r="11" spans="1:2" x14ac:dyDescent="0.35">
      <c r="A11" s="38" t="s">
        <v>1358</v>
      </c>
      <c r="B11" s="38">
        <v>247</v>
      </c>
    </row>
    <row r="12" spans="1:2" x14ac:dyDescent="0.35">
      <c r="A12" s="38"/>
      <c r="B12" s="38"/>
    </row>
    <row r="13" spans="1:2" x14ac:dyDescent="0.35">
      <c r="A13" s="38" t="s">
        <v>1359</v>
      </c>
      <c r="B13" s="744">
        <f>B9*B10*B11</f>
        <v>199.57600000000002</v>
      </c>
    </row>
    <row r="16" spans="1:2" x14ac:dyDescent="0.35">
      <c r="A16" t="s">
        <v>1361</v>
      </c>
    </row>
  </sheetData>
  <mergeCells count="4"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2" workbookViewId="0">
      <selection activeCell="A30" sqref="A30"/>
    </sheetView>
  </sheetViews>
  <sheetFormatPr defaultRowHeight="14.5" x14ac:dyDescent="0.35"/>
  <cols>
    <col min="2" max="3" width="6.26953125" customWidth="1"/>
    <col min="4" max="4" width="7.1796875" customWidth="1"/>
    <col min="5" max="5" width="6.26953125" customWidth="1"/>
    <col min="6" max="6" width="7" customWidth="1"/>
    <col min="7" max="7" width="6.81640625" customWidth="1"/>
    <col min="8" max="8" width="6.453125" customWidth="1"/>
    <col min="9" max="9" width="7" customWidth="1"/>
    <col min="10" max="10" width="6.7265625" customWidth="1"/>
    <col min="11" max="11" width="7.1796875" customWidth="1"/>
    <col min="12" max="12" width="6.54296875" customWidth="1"/>
    <col min="13" max="13" width="6.7265625" customWidth="1"/>
    <col min="14" max="14" width="6.26953125" customWidth="1"/>
    <col min="15" max="15" width="6.81640625" customWidth="1"/>
    <col min="16" max="16" width="7.81640625" customWidth="1"/>
    <col min="17" max="17" width="7.26953125" customWidth="1"/>
    <col min="18" max="18" width="6.26953125" customWidth="1"/>
    <col min="19" max="19" width="7" customWidth="1"/>
  </cols>
  <sheetData>
    <row r="1" spans="1:19" x14ac:dyDescent="0.35">
      <c r="O1" s="43" t="s">
        <v>88</v>
      </c>
      <c r="P1" s="44"/>
      <c r="Q1" s="44"/>
      <c r="R1" s="42"/>
    </row>
    <row r="2" spans="1:19" x14ac:dyDescent="0.35">
      <c r="O2" s="44" t="s">
        <v>89</v>
      </c>
      <c r="P2" s="44"/>
      <c r="Q2" s="44"/>
      <c r="R2" s="42"/>
    </row>
    <row r="3" spans="1:19" x14ac:dyDescent="0.35">
      <c r="O3" s="44" t="s">
        <v>90</v>
      </c>
      <c r="P3" s="44"/>
      <c r="Q3" s="44"/>
      <c r="R3" s="42"/>
    </row>
    <row r="4" spans="1:19" x14ac:dyDescent="0.35">
      <c r="D4" s="29"/>
      <c r="O4" s="44" t="s">
        <v>1333</v>
      </c>
      <c r="P4" s="44"/>
      <c r="Q4" s="44"/>
      <c r="R4" s="42"/>
    </row>
    <row r="5" spans="1:19" x14ac:dyDescent="0.35">
      <c r="B5" s="1141" t="s">
        <v>218</v>
      </c>
      <c r="C5" s="1141"/>
      <c r="D5" s="1141"/>
      <c r="E5" s="1141"/>
      <c r="F5" s="1141"/>
      <c r="G5" s="1141"/>
      <c r="H5" s="1141"/>
      <c r="I5" s="1141"/>
      <c r="J5" s="1141"/>
      <c r="K5" s="1141"/>
      <c r="L5" s="1141"/>
    </row>
    <row r="6" spans="1:19" ht="9.75" customHeight="1" x14ac:dyDescent="0.35">
      <c r="H6" s="41"/>
      <c r="I6" s="41"/>
      <c r="J6" s="41"/>
      <c r="K6" s="41"/>
      <c r="L6" s="41"/>
      <c r="M6" s="41"/>
      <c r="N6" s="41"/>
      <c r="O6" s="41"/>
    </row>
    <row r="7" spans="1:19" ht="33.75" customHeight="1" x14ac:dyDescent="0.35">
      <c r="A7" s="1138" t="s">
        <v>842</v>
      </c>
      <c r="B7" s="1139"/>
      <c r="C7" s="1139"/>
      <c r="D7" s="1139"/>
      <c r="E7" s="1139"/>
      <c r="F7" s="1139"/>
      <c r="G7" s="1139"/>
      <c r="H7" s="1139"/>
      <c r="I7" s="1139"/>
      <c r="J7" s="1139"/>
      <c r="K7" s="1139"/>
      <c r="L7" s="1139"/>
      <c r="M7" s="1139"/>
      <c r="N7" s="1139"/>
      <c r="O7" s="1139"/>
      <c r="P7" s="1139"/>
      <c r="Q7" s="1139"/>
      <c r="R7" s="1139"/>
      <c r="S7" s="1140"/>
    </row>
    <row r="8" spans="1:19" x14ac:dyDescent="0.35">
      <c r="A8" s="36" t="s">
        <v>72</v>
      </c>
      <c r="B8" s="51">
        <v>1</v>
      </c>
      <c r="C8" s="51"/>
      <c r="D8" s="51"/>
      <c r="E8" s="51"/>
      <c r="F8" s="51">
        <v>2</v>
      </c>
      <c r="G8" s="51"/>
      <c r="H8" s="51"/>
      <c r="I8" s="51"/>
      <c r="J8" s="51">
        <v>3</v>
      </c>
      <c r="K8" s="51"/>
      <c r="L8" s="51"/>
      <c r="M8" s="51"/>
      <c r="N8" s="51"/>
      <c r="O8" s="51">
        <v>4</v>
      </c>
      <c r="P8" s="51"/>
      <c r="Q8" s="51"/>
      <c r="R8" s="51"/>
      <c r="S8" s="51"/>
    </row>
    <row r="9" spans="1:19" x14ac:dyDescent="0.35">
      <c r="A9" s="37" t="s">
        <v>73</v>
      </c>
      <c r="B9" s="52">
        <v>1</v>
      </c>
      <c r="C9" s="34">
        <v>1.07</v>
      </c>
      <c r="D9" s="34">
        <v>1.1399999999999999</v>
      </c>
      <c r="E9" s="34">
        <v>1.22</v>
      </c>
      <c r="F9" s="34">
        <v>1.1299999999999999</v>
      </c>
      <c r="G9" s="34">
        <v>1.21</v>
      </c>
      <c r="H9" s="34">
        <v>1.29</v>
      </c>
      <c r="I9" s="34">
        <v>1.38</v>
      </c>
      <c r="J9" s="34">
        <v>1.28</v>
      </c>
      <c r="K9" s="34">
        <v>1.37</v>
      </c>
      <c r="L9" s="34">
        <v>1.46</v>
      </c>
      <c r="M9" s="34">
        <v>1.56</v>
      </c>
      <c r="N9" s="34">
        <v>1.67</v>
      </c>
      <c r="O9" s="34">
        <v>1.44</v>
      </c>
      <c r="P9" s="34">
        <v>1.53</v>
      </c>
      <c r="Q9" s="34">
        <v>1.62</v>
      </c>
      <c r="R9" s="34">
        <v>1.72</v>
      </c>
      <c r="S9" s="34">
        <v>1.82</v>
      </c>
    </row>
    <row r="10" spans="1:19" x14ac:dyDescent="0.35">
      <c r="A10" s="37" t="s">
        <v>74</v>
      </c>
      <c r="B10" s="53">
        <v>9294</v>
      </c>
      <c r="C10" s="53">
        <f>B10*C9</f>
        <v>9944.58</v>
      </c>
      <c r="D10" s="53">
        <f>B10*D9</f>
        <v>10595.16</v>
      </c>
      <c r="E10" s="53">
        <f>B10*E9</f>
        <v>11338.68</v>
      </c>
      <c r="F10" s="53">
        <f>B10*F9</f>
        <v>10502.22</v>
      </c>
      <c r="G10" s="53">
        <f>B10*G9</f>
        <v>11245.74</v>
      </c>
      <c r="H10" s="53">
        <f>B10*H9</f>
        <v>11989.26</v>
      </c>
      <c r="I10" s="53">
        <f>B10*I9</f>
        <v>12825.72</v>
      </c>
      <c r="J10" s="53">
        <f>B10*J9</f>
        <v>11896.32</v>
      </c>
      <c r="K10" s="53">
        <f>B10*K9</f>
        <v>12732.78</v>
      </c>
      <c r="L10" s="53">
        <f>B10*L9</f>
        <v>13569.24</v>
      </c>
      <c r="M10" s="53">
        <f>B10*M9</f>
        <v>14498.640000000001</v>
      </c>
      <c r="N10" s="53">
        <f>B10*N9</f>
        <v>15520.98</v>
      </c>
      <c r="O10" s="53">
        <f>B10*O9</f>
        <v>13383.359999999999</v>
      </c>
      <c r="P10" s="53">
        <f>B10*P9</f>
        <v>14219.82</v>
      </c>
      <c r="Q10" s="53">
        <f>B10*Q9</f>
        <v>15056.28</v>
      </c>
      <c r="R10" s="53">
        <f>B10*R9</f>
        <v>15985.68</v>
      </c>
      <c r="S10" s="53">
        <f>B10*S9</f>
        <v>16915.080000000002</v>
      </c>
    </row>
    <row r="11" spans="1:19" x14ac:dyDescent="0.35">
      <c r="A11" s="38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x14ac:dyDescent="0.35">
      <c r="A12" s="37" t="s">
        <v>72</v>
      </c>
      <c r="B12" s="34">
        <v>5</v>
      </c>
      <c r="C12" s="34"/>
      <c r="D12" s="34"/>
      <c r="E12" s="34"/>
      <c r="F12" s="34"/>
      <c r="G12" s="34">
        <v>6</v>
      </c>
      <c r="H12" s="34"/>
      <c r="I12" s="34"/>
      <c r="J12" s="34"/>
      <c r="K12" s="34"/>
      <c r="L12" s="34">
        <v>7</v>
      </c>
      <c r="M12" s="34"/>
      <c r="N12" s="34"/>
      <c r="O12" s="34"/>
      <c r="P12" s="34"/>
      <c r="Q12" s="34"/>
      <c r="R12" s="34"/>
      <c r="S12" s="34"/>
    </row>
    <row r="13" spans="1:19" x14ac:dyDescent="0.35">
      <c r="A13" s="37" t="s">
        <v>73</v>
      </c>
      <c r="B13" s="34">
        <v>1.63</v>
      </c>
      <c r="C13" s="34">
        <v>1.73</v>
      </c>
      <c r="D13" s="34">
        <v>1.83</v>
      </c>
      <c r="E13" s="34">
        <v>1.94</v>
      </c>
      <c r="F13" s="34">
        <v>2.06</v>
      </c>
      <c r="G13" s="34">
        <v>1.84</v>
      </c>
      <c r="H13" s="34">
        <v>1.95</v>
      </c>
      <c r="I13" s="34">
        <v>2.0699999999999998</v>
      </c>
      <c r="J13" s="34">
        <v>2.19</v>
      </c>
      <c r="K13" s="34">
        <v>2.3199999999999998</v>
      </c>
      <c r="L13" s="34">
        <v>2.08</v>
      </c>
      <c r="M13" s="34">
        <v>2.2000000000000002</v>
      </c>
      <c r="N13" s="34">
        <v>2.33</v>
      </c>
      <c r="O13" s="34">
        <v>2.4700000000000002</v>
      </c>
      <c r="P13" s="34">
        <v>2.62</v>
      </c>
      <c r="Q13" s="34"/>
      <c r="R13" s="34"/>
      <c r="S13" s="34"/>
    </row>
    <row r="14" spans="1:19" x14ac:dyDescent="0.35">
      <c r="A14" s="37" t="s">
        <v>74</v>
      </c>
      <c r="B14" s="53">
        <f>B10*B13</f>
        <v>15149.22</v>
      </c>
      <c r="C14" s="53">
        <f>B10*C13</f>
        <v>16078.619999999999</v>
      </c>
      <c r="D14" s="53">
        <f>B10*D13</f>
        <v>17008.02</v>
      </c>
      <c r="E14" s="53">
        <f>B10*E13</f>
        <v>18030.36</v>
      </c>
      <c r="F14" s="53">
        <f>B10*F13</f>
        <v>19145.64</v>
      </c>
      <c r="G14" s="53">
        <f>B10*G13</f>
        <v>17100.96</v>
      </c>
      <c r="H14" s="53">
        <f>B10*H13</f>
        <v>18123.3</v>
      </c>
      <c r="I14" s="53">
        <f>B10*I13</f>
        <v>19238.579999999998</v>
      </c>
      <c r="J14" s="53">
        <f>B10*J13</f>
        <v>20353.86</v>
      </c>
      <c r="K14" s="53">
        <f>B10*K13</f>
        <v>21562.079999999998</v>
      </c>
      <c r="L14" s="53">
        <f>B10*L13</f>
        <v>19331.52</v>
      </c>
      <c r="M14" s="53">
        <f>B10*M13</f>
        <v>20446.800000000003</v>
      </c>
      <c r="N14" s="53">
        <f>B10*N13</f>
        <v>21655.02</v>
      </c>
      <c r="O14" s="53">
        <f>B10*O13</f>
        <v>22956.18</v>
      </c>
      <c r="P14" s="53">
        <f>B10*P13</f>
        <v>24350.280000000002</v>
      </c>
      <c r="Q14" s="34"/>
      <c r="R14" s="34"/>
      <c r="S14" s="34"/>
    </row>
    <row r="15" spans="1:19" x14ac:dyDescent="0.35">
      <c r="A15" s="38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 x14ac:dyDescent="0.35">
      <c r="A16" s="37" t="s">
        <v>72</v>
      </c>
      <c r="B16" s="34">
        <v>8</v>
      </c>
      <c r="C16" s="34"/>
      <c r="D16" s="34"/>
      <c r="E16" s="34"/>
      <c r="F16" s="34"/>
      <c r="G16" s="34">
        <v>9</v>
      </c>
      <c r="H16" s="34"/>
      <c r="I16" s="34"/>
      <c r="J16" s="34"/>
      <c r="K16" s="34"/>
      <c r="L16" s="34">
        <v>10</v>
      </c>
      <c r="M16" s="34"/>
      <c r="N16" s="34"/>
      <c r="O16" s="34"/>
      <c r="P16" s="34"/>
      <c r="Q16" s="34"/>
      <c r="R16" s="34"/>
      <c r="S16" s="34"/>
    </row>
    <row r="17" spans="1:19" x14ac:dyDescent="0.35">
      <c r="A17" s="37" t="s">
        <v>73</v>
      </c>
      <c r="B17" s="34">
        <v>2.35</v>
      </c>
      <c r="C17" s="34">
        <v>2.4700000000000002</v>
      </c>
      <c r="D17" s="34">
        <v>2.6</v>
      </c>
      <c r="E17" s="34">
        <v>2.73</v>
      </c>
      <c r="F17" s="34">
        <v>2.87</v>
      </c>
      <c r="G17" s="34">
        <v>2.66</v>
      </c>
      <c r="H17" s="34">
        <v>2.8</v>
      </c>
      <c r="I17" s="34">
        <v>2.94</v>
      </c>
      <c r="J17" s="34">
        <v>3.09</v>
      </c>
      <c r="K17" s="34">
        <v>3.25</v>
      </c>
      <c r="L17" s="34">
        <v>2.78</v>
      </c>
      <c r="M17" s="34">
        <v>2.94</v>
      </c>
      <c r="N17" s="34">
        <v>3.11</v>
      </c>
      <c r="O17" s="34">
        <v>3.29</v>
      </c>
      <c r="P17" s="34">
        <v>3.48</v>
      </c>
      <c r="Q17" s="34"/>
      <c r="R17" s="34"/>
      <c r="S17" s="34"/>
    </row>
    <row r="18" spans="1:19" x14ac:dyDescent="0.35">
      <c r="A18" s="37" t="s">
        <v>74</v>
      </c>
      <c r="B18" s="53">
        <f>B10*B17</f>
        <v>21840.9</v>
      </c>
      <c r="C18" s="53">
        <f>B10*C17</f>
        <v>22956.18</v>
      </c>
      <c r="D18" s="53">
        <f>B10*D17</f>
        <v>24164.400000000001</v>
      </c>
      <c r="E18" s="53">
        <f>B10*E17</f>
        <v>25372.62</v>
      </c>
      <c r="F18" s="53">
        <f>B10*F17</f>
        <v>26673.780000000002</v>
      </c>
      <c r="G18" s="53">
        <f>B10*G17</f>
        <v>24722.04</v>
      </c>
      <c r="H18" s="53">
        <f>B10*H17</f>
        <v>26023.199999999997</v>
      </c>
      <c r="I18" s="53">
        <f>B10*I17</f>
        <v>27324.36</v>
      </c>
      <c r="J18" s="53">
        <f>B10*J17</f>
        <v>28718.46</v>
      </c>
      <c r="K18" s="53">
        <f>B10*K17</f>
        <v>30205.5</v>
      </c>
      <c r="L18" s="53">
        <f>B10*L17</f>
        <v>25837.32</v>
      </c>
      <c r="M18" s="53">
        <f>B10*M17</f>
        <v>27324.36</v>
      </c>
      <c r="N18" s="53">
        <f>B10*N17</f>
        <v>28904.34</v>
      </c>
      <c r="O18" s="53">
        <f>B10*O17</f>
        <v>30577.260000000002</v>
      </c>
      <c r="P18" s="53">
        <f>B10*P17</f>
        <v>32343.119999999999</v>
      </c>
      <c r="Q18" s="34"/>
      <c r="R18" s="34"/>
      <c r="S18" s="34"/>
    </row>
    <row r="19" spans="1:19" x14ac:dyDescent="0.35">
      <c r="A19" s="38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x14ac:dyDescent="0.35">
      <c r="A20" s="37" t="s">
        <v>72</v>
      </c>
      <c r="B20" s="34">
        <v>11</v>
      </c>
      <c r="C20" s="34"/>
      <c r="D20" s="34"/>
      <c r="E20" s="34"/>
      <c r="F20" s="34"/>
      <c r="G20" s="34">
        <v>12</v>
      </c>
      <c r="H20" s="34"/>
      <c r="I20" s="34"/>
      <c r="J20" s="34"/>
      <c r="K20" s="34"/>
      <c r="L20" s="34">
        <v>13</v>
      </c>
      <c r="M20" s="34"/>
      <c r="N20" s="34"/>
      <c r="O20" s="34"/>
      <c r="P20" s="34">
        <v>14</v>
      </c>
      <c r="Q20" s="34"/>
      <c r="R20" s="34"/>
      <c r="S20" s="34"/>
    </row>
    <row r="21" spans="1:19" x14ac:dyDescent="0.35">
      <c r="A21" s="37" t="s">
        <v>73</v>
      </c>
      <c r="B21" s="34">
        <v>3.11</v>
      </c>
      <c r="C21" s="34">
        <v>3.29</v>
      </c>
      <c r="D21" s="34">
        <v>3.48</v>
      </c>
      <c r="E21" s="34">
        <v>3.69</v>
      </c>
      <c r="F21" s="34">
        <v>3.9</v>
      </c>
      <c r="G21" s="34">
        <v>3.48</v>
      </c>
      <c r="H21" s="34">
        <v>3.69</v>
      </c>
      <c r="I21" s="34">
        <v>3.9</v>
      </c>
      <c r="J21" s="34">
        <v>4.12</v>
      </c>
      <c r="K21" s="34">
        <v>4.37</v>
      </c>
      <c r="L21" s="34">
        <v>3.9</v>
      </c>
      <c r="M21" s="34">
        <v>4.13</v>
      </c>
      <c r="N21" s="34">
        <v>4.37</v>
      </c>
      <c r="O21" s="34">
        <v>4.63</v>
      </c>
      <c r="P21" s="34">
        <v>4.37</v>
      </c>
      <c r="Q21" s="34">
        <v>4.63</v>
      </c>
      <c r="R21" s="34">
        <v>4.8899999999999997</v>
      </c>
      <c r="S21" s="34">
        <v>5.18</v>
      </c>
    </row>
    <row r="22" spans="1:19" x14ac:dyDescent="0.35">
      <c r="A22" s="37" t="s">
        <v>74</v>
      </c>
      <c r="B22" s="53">
        <f>B10*B21</f>
        <v>28904.34</v>
      </c>
      <c r="C22" s="53">
        <f>B10*C21</f>
        <v>30577.260000000002</v>
      </c>
      <c r="D22" s="53">
        <f>B10*D21</f>
        <v>32343.119999999999</v>
      </c>
      <c r="E22" s="53">
        <f>B10*E21</f>
        <v>34294.86</v>
      </c>
      <c r="F22" s="53">
        <f>B10*F21</f>
        <v>36246.6</v>
      </c>
      <c r="G22" s="53">
        <f>B10*G21</f>
        <v>32343.119999999999</v>
      </c>
      <c r="H22" s="53">
        <f>B10*H21</f>
        <v>34294.86</v>
      </c>
      <c r="I22" s="53">
        <f>B10*I21</f>
        <v>36246.6</v>
      </c>
      <c r="J22" s="53">
        <f>B10*J21</f>
        <v>38291.279999999999</v>
      </c>
      <c r="K22" s="53">
        <f>B10*K21</f>
        <v>40614.78</v>
      </c>
      <c r="L22" s="53">
        <f>B10*L21</f>
        <v>36246.6</v>
      </c>
      <c r="M22" s="53">
        <f>B10*M21</f>
        <v>38384.22</v>
      </c>
      <c r="N22" s="53">
        <f>B10*N21</f>
        <v>40614.78</v>
      </c>
      <c r="O22" s="53">
        <f>B10*O21</f>
        <v>43031.22</v>
      </c>
      <c r="P22" s="53">
        <f>B10*P21</f>
        <v>40614.78</v>
      </c>
      <c r="Q22" s="53">
        <f>B10*Q21</f>
        <v>43031.22</v>
      </c>
      <c r="R22" s="53">
        <f>B10*R21</f>
        <v>45447.659999999996</v>
      </c>
      <c r="S22" s="53">
        <f>B10*S21</f>
        <v>48142.92</v>
      </c>
    </row>
    <row r="23" spans="1:19" x14ac:dyDescent="0.35">
      <c r="A23" s="38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 x14ac:dyDescent="0.35">
      <c r="A24" s="37" t="s">
        <v>72</v>
      </c>
      <c r="B24" s="34">
        <v>15</v>
      </c>
      <c r="C24" s="34"/>
      <c r="D24" s="34"/>
      <c r="E24" s="34"/>
      <c r="F24" s="34">
        <v>16</v>
      </c>
      <c r="G24" s="34"/>
      <c r="H24" s="34"/>
      <c r="I24" s="34"/>
      <c r="J24" s="34">
        <v>17</v>
      </c>
      <c r="K24" s="34"/>
      <c r="L24" s="34"/>
      <c r="M24" s="34"/>
      <c r="N24" s="34">
        <v>18</v>
      </c>
      <c r="O24" s="34"/>
      <c r="P24" s="34"/>
      <c r="Q24" s="34"/>
      <c r="R24" s="34"/>
      <c r="S24" s="34"/>
    </row>
    <row r="25" spans="1:19" x14ac:dyDescent="0.35">
      <c r="A25" s="37" t="s">
        <v>73</v>
      </c>
      <c r="B25" s="34">
        <v>4.8899999999999997</v>
      </c>
      <c r="C25" s="34">
        <v>5.18</v>
      </c>
      <c r="D25" s="34">
        <v>5.47</v>
      </c>
      <c r="E25" s="34">
        <v>5.8</v>
      </c>
      <c r="F25" s="34">
        <v>5.47</v>
      </c>
      <c r="G25" s="34">
        <v>5.8</v>
      </c>
      <c r="H25" s="34">
        <v>6.13</v>
      </c>
      <c r="I25" s="34">
        <v>6.5</v>
      </c>
      <c r="J25" s="34">
        <v>6.13</v>
      </c>
      <c r="K25" s="34">
        <v>6.5</v>
      </c>
      <c r="L25" s="34">
        <v>6.87</v>
      </c>
      <c r="M25" s="34">
        <v>6.91</v>
      </c>
      <c r="N25" s="34">
        <v>6.87</v>
      </c>
      <c r="O25" s="34">
        <v>6.91</v>
      </c>
      <c r="P25" s="34">
        <v>7.69</v>
      </c>
      <c r="Q25" s="34">
        <v>8.15</v>
      </c>
      <c r="R25" s="34"/>
      <c r="S25" s="34"/>
    </row>
    <row r="26" spans="1:19" x14ac:dyDescent="0.35">
      <c r="A26" s="37" t="s">
        <v>74</v>
      </c>
      <c r="B26" s="53">
        <f>B10*B25</f>
        <v>45447.659999999996</v>
      </c>
      <c r="C26" s="53">
        <f>B10*C25</f>
        <v>48142.92</v>
      </c>
      <c r="D26" s="53">
        <f>B10*D25</f>
        <v>50838.18</v>
      </c>
      <c r="E26" s="53">
        <f>B10*E25</f>
        <v>53905.2</v>
      </c>
      <c r="F26" s="53">
        <f>B10*F25</f>
        <v>50838.18</v>
      </c>
      <c r="G26" s="53">
        <f>B10*G25</f>
        <v>53905.2</v>
      </c>
      <c r="H26" s="53">
        <f>B10*H25</f>
        <v>56972.22</v>
      </c>
      <c r="I26" s="53">
        <f>B10*I25</f>
        <v>60411</v>
      </c>
      <c r="J26" s="53">
        <f>B10*J25</f>
        <v>56972.22</v>
      </c>
      <c r="K26" s="53">
        <f>B10*K25</f>
        <v>60411</v>
      </c>
      <c r="L26" s="53">
        <f>B10*L25</f>
        <v>63849.78</v>
      </c>
      <c r="M26" s="53">
        <f>M25*B10</f>
        <v>64221.54</v>
      </c>
      <c r="N26" s="53">
        <f>B10*N25</f>
        <v>63849.78</v>
      </c>
      <c r="O26" s="53">
        <f>B10*O25</f>
        <v>64221.54</v>
      </c>
      <c r="P26" s="53">
        <f>B10*P25</f>
        <v>71470.86</v>
      </c>
      <c r="Q26" s="53">
        <f>B10*Q25</f>
        <v>75746.100000000006</v>
      </c>
      <c r="R26" s="34"/>
      <c r="S26" s="34"/>
    </row>
    <row r="27" spans="1:19" x14ac:dyDescent="0.35">
      <c r="A27" s="3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x14ac:dyDescent="0.35">
      <c r="A28" s="569" t="s">
        <v>1451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x14ac:dyDescent="0.35">
      <c r="A29" s="569" t="s">
        <v>1452</v>
      </c>
    </row>
    <row r="30" spans="1:19" x14ac:dyDescent="0.35">
      <c r="A30" s="724"/>
    </row>
    <row r="31" spans="1:19" x14ac:dyDescent="0.35">
      <c r="A31" t="s">
        <v>10</v>
      </c>
      <c r="F31" t="s">
        <v>963</v>
      </c>
    </row>
  </sheetData>
  <mergeCells count="2">
    <mergeCell ref="A7:S7"/>
    <mergeCell ref="B5:L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"/>
  <sheetViews>
    <sheetView topLeftCell="A274" workbookViewId="0">
      <selection activeCell="H183" sqref="H183"/>
    </sheetView>
  </sheetViews>
  <sheetFormatPr defaultRowHeight="14.5" x14ac:dyDescent="0.35"/>
  <cols>
    <col min="1" max="1" width="4.81640625" customWidth="1"/>
    <col min="6" max="6" width="5.7265625" customWidth="1"/>
    <col min="7" max="7" width="7.81640625" customWidth="1"/>
    <col min="8" max="8" width="7.7265625" customWidth="1"/>
    <col min="10" max="10" width="8" customWidth="1"/>
    <col min="15" max="15" width="9.54296875" bestFit="1" customWidth="1"/>
  </cols>
  <sheetData>
    <row r="1" spans="1:15" x14ac:dyDescent="0.35">
      <c r="A1" s="284"/>
      <c r="B1" s="284"/>
      <c r="C1" s="285"/>
      <c r="D1" s="285"/>
      <c r="E1" s="285"/>
      <c r="F1" s="285"/>
      <c r="G1" s="184"/>
      <c r="H1" s="184"/>
      <c r="I1" s="184"/>
      <c r="J1" s="184"/>
      <c r="K1" s="184"/>
      <c r="L1" s="43" t="s">
        <v>88</v>
      </c>
      <c r="M1" s="44"/>
      <c r="N1" s="44"/>
      <c r="O1" s="285"/>
    </row>
    <row r="2" spans="1:15" x14ac:dyDescent="0.35">
      <c r="A2" s="285"/>
      <c r="B2" s="285"/>
      <c r="C2" s="285"/>
      <c r="D2" s="285"/>
      <c r="E2" s="285"/>
      <c r="F2" s="285"/>
      <c r="G2" s="184"/>
      <c r="H2" s="184"/>
      <c r="I2" s="184"/>
      <c r="J2" s="184"/>
      <c r="K2" s="184"/>
      <c r="L2" s="44" t="s">
        <v>89</v>
      </c>
      <c r="M2" s="44"/>
      <c r="N2" s="44"/>
      <c r="O2" s="285"/>
    </row>
    <row r="3" spans="1:15" x14ac:dyDescent="0.35">
      <c r="A3" s="44"/>
      <c r="B3" s="44"/>
      <c r="C3" s="44"/>
      <c r="D3" s="44"/>
      <c r="E3" s="44"/>
      <c r="F3" s="44"/>
      <c r="G3" s="286"/>
      <c r="H3" s="286"/>
      <c r="I3" s="286"/>
      <c r="J3" s="286"/>
      <c r="K3" s="286"/>
      <c r="L3" s="44" t="s">
        <v>90</v>
      </c>
      <c r="M3" s="44"/>
      <c r="N3" s="44"/>
      <c r="O3" s="285"/>
    </row>
    <row r="4" spans="1:15" x14ac:dyDescent="0.35">
      <c r="A4" s="44"/>
      <c r="B4" s="44"/>
      <c r="C4" s="44"/>
      <c r="D4" s="44"/>
      <c r="E4" s="44"/>
      <c r="F4" s="44"/>
      <c r="G4" s="286"/>
      <c r="H4" s="286"/>
      <c r="I4" s="286"/>
      <c r="J4" s="286"/>
      <c r="K4" s="286"/>
      <c r="L4" s="44" t="s">
        <v>964</v>
      </c>
      <c r="M4" s="44"/>
      <c r="N4" s="44"/>
      <c r="O4" s="285"/>
    </row>
    <row r="5" spans="1:15" x14ac:dyDescent="0.35">
      <c r="A5" s="1186" t="s">
        <v>1465</v>
      </c>
      <c r="B5" s="1186"/>
      <c r="C5" s="1186"/>
      <c r="D5" s="1186"/>
      <c r="E5" s="1186"/>
      <c r="F5" s="1186"/>
      <c r="G5" s="1186"/>
      <c r="H5" s="1186"/>
      <c r="I5" s="1186"/>
      <c r="J5" s="1186"/>
      <c r="K5" s="1186"/>
      <c r="L5" s="1186"/>
      <c r="M5" s="1186"/>
      <c r="N5" s="1186"/>
      <c r="O5" s="1186"/>
    </row>
    <row r="6" spans="1:15" x14ac:dyDescent="0.35">
      <c r="A6" s="287"/>
      <c r="B6" s="287" t="s">
        <v>1344</v>
      </c>
      <c r="C6" s="287"/>
      <c r="D6" s="287"/>
      <c r="E6" s="287"/>
      <c r="F6" s="288"/>
      <c r="G6" s="288"/>
      <c r="H6" s="288"/>
      <c r="I6" s="288"/>
      <c r="J6" s="288"/>
      <c r="K6" s="288"/>
      <c r="L6" s="288"/>
      <c r="M6" s="288"/>
      <c r="N6" s="288"/>
      <c r="O6" s="286"/>
    </row>
    <row r="7" spans="1:15" ht="15" thickBot="1" x14ac:dyDescent="0.4">
      <c r="A7" s="289"/>
      <c r="B7" s="289"/>
      <c r="C7" s="290" t="s">
        <v>6</v>
      </c>
      <c r="D7" s="290"/>
      <c r="E7" s="290"/>
      <c r="F7" s="290"/>
      <c r="G7" s="290"/>
      <c r="H7" s="290"/>
      <c r="I7" s="290"/>
      <c r="J7" s="290"/>
      <c r="K7" s="290"/>
      <c r="L7" s="290"/>
      <c r="M7" s="289"/>
      <c r="N7" s="289"/>
      <c r="O7" s="289"/>
    </row>
    <row r="8" spans="1:15" ht="15" thickBot="1" x14ac:dyDescent="0.4">
      <c r="A8" s="1153" t="s">
        <v>0</v>
      </c>
      <c r="B8" s="1155" t="s">
        <v>1</v>
      </c>
      <c r="C8" s="1156"/>
      <c r="D8" s="1156"/>
      <c r="E8" s="1157"/>
      <c r="F8" s="1144" t="s">
        <v>75</v>
      </c>
      <c r="G8" s="1142" t="s">
        <v>76</v>
      </c>
      <c r="H8" s="1144" t="s">
        <v>77</v>
      </c>
      <c r="I8" s="1146" t="s">
        <v>78</v>
      </c>
      <c r="J8" s="1161"/>
      <c r="K8" s="1148"/>
      <c r="L8" s="1148"/>
      <c r="M8" s="1148"/>
      <c r="N8" s="1149"/>
      <c r="O8" s="1150" t="s">
        <v>79</v>
      </c>
    </row>
    <row r="9" spans="1:15" ht="19.5" customHeight="1" thickBot="1" x14ac:dyDescent="0.4">
      <c r="A9" s="1154"/>
      <c r="B9" s="1158"/>
      <c r="C9" s="1159"/>
      <c r="D9" s="1159"/>
      <c r="E9" s="1160"/>
      <c r="F9" s="1145"/>
      <c r="G9" s="1143"/>
      <c r="H9" s="1145"/>
      <c r="I9" s="725" t="s">
        <v>80</v>
      </c>
      <c r="J9" s="307" t="s">
        <v>1334</v>
      </c>
      <c r="K9" s="292" t="s">
        <v>81</v>
      </c>
      <c r="L9" s="291" t="s">
        <v>82</v>
      </c>
      <c r="M9" s="292" t="s">
        <v>83</v>
      </c>
      <c r="N9" s="291" t="s">
        <v>84</v>
      </c>
      <c r="O9" s="1151"/>
    </row>
    <row r="10" spans="1:15" x14ac:dyDescent="0.35">
      <c r="A10" s="293" t="s">
        <v>26</v>
      </c>
      <c r="B10" s="1027" t="s">
        <v>38</v>
      </c>
      <c r="C10" s="1028"/>
      <c r="D10" s="1028"/>
      <c r="E10" s="1028"/>
      <c r="F10" s="294">
        <v>1</v>
      </c>
      <c r="G10" s="295">
        <v>16</v>
      </c>
      <c r="H10" s="296">
        <v>50838</v>
      </c>
      <c r="I10" s="296">
        <f>H10</f>
        <v>50838</v>
      </c>
      <c r="J10" s="297">
        <f>H10*15%</f>
        <v>7625.7</v>
      </c>
      <c r="K10" s="297">
        <f>I10*0.7</f>
        <v>35586.6</v>
      </c>
      <c r="L10" s="297">
        <f>(I10+J10+K10)*0.5</f>
        <v>47025.149999999994</v>
      </c>
      <c r="M10" s="297">
        <f t="shared" ref="M10:M24" si="0">L10</f>
        <v>47025.149999999994</v>
      </c>
      <c r="N10" s="297">
        <f t="shared" ref="N10:N24" si="1">I10+K10+L10+M10</f>
        <v>180474.9</v>
      </c>
      <c r="O10" s="298">
        <f>N10*12</f>
        <v>2165698.7999999998</v>
      </c>
    </row>
    <row r="11" spans="1:15" x14ac:dyDescent="0.35">
      <c r="A11" s="299">
        <v>2</v>
      </c>
      <c r="B11" s="1027" t="s">
        <v>8</v>
      </c>
      <c r="C11" s="1028"/>
      <c r="D11" s="1028"/>
      <c r="E11" s="1028"/>
      <c r="F11" s="294">
        <v>1</v>
      </c>
      <c r="G11" s="295">
        <v>15</v>
      </c>
      <c r="H11" s="296">
        <v>45448</v>
      </c>
      <c r="I11" s="296">
        <f>H11</f>
        <v>45448</v>
      </c>
      <c r="J11" s="297">
        <f t="shared" ref="J11:J25" si="2">H11*15%</f>
        <v>6817.2</v>
      </c>
      <c r="K11" s="297">
        <f>I11*0.7</f>
        <v>31813.599999999999</v>
      </c>
      <c r="L11" s="297">
        <f t="shared" ref="L11:L25" si="3">(I11+J11+K11)*0.5</f>
        <v>42039.399999999994</v>
      </c>
      <c r="M11" s="297">
        <f t="shared" si="0"/>
        <v>42039.399999999994</v>
      </c>
      <c r="N11" s="297">
        <f t="shared" si="1"/>
        <v>161340.4</v>
      </c>
      <c r="O11" s="298">
        <f>N11*12</f>
        <v>1936084.7999999998</v>
      </c>
    </row>
    <row r="12" spans="1:15" x14ac:dyDescent="0.35">
      <c r="A12" s="300">
        <v>3</v>
      </c>
      <c r="B12" s="1027" t="s">
        <v>9</v>
      </c>
      <c r="C12" s="1028"/>
      <c r="D12" s="1028"/>
      <c r="E12" s="1028"/>
      <c r="F12" s="301">
        <v>1</v>
      </c>
      <c r="G12" s="295">
        <v>15</v>
      </c>
      <c r="H12" s="296">
        <v>45448</v>
      </c>
      <c r="I12" s="296">
        <f>H12</f>
        <v>45448</v>
      </c>
      <c r="J12" s="297">
        <f t="shared" si="2"/>
        <v>6817.2</v>
      </c>
      <c r="K12" s="297">
        <f t="shared" ref="K12:K20" si="4">I12*0.7</f>
        <v>31813.599999999999</v>
      </c>
      <c r="L12" s="297">
        <f t="shared" si="3"/>
        <v>42039.399999999994</v>
      </c>
      <c r="M12" s="297">
        <f t="shared" si="0"/>
        <v>42039.399999999994</v>
      </c>
      <c r="N12" s="297">
        <f t="shared" si="1"/>
        <v>161340.4</v>
      </c>
      <c r="O12" s="298">
        <f t="shared" ref="O12:O20" si="5">N12*12</f>
        <v>1936084.7999999998</v>
      </c>
    </row>
    <row r="13" spans="1:15" x14ac:dyDescent="0.35">
      <c r="A13" s="300">
        <v>4</v>
      </c>
      <c r="B13" s="1027" t="s">
        <v>10</v>
      </c>
      <c r="C13" s="1028"/>
      <c r="D13" s="1028"/>
      <c r="E13" s="1028"/>
      <c r="F13" s="301">
        <v>1</v>
      </c>
      <c r="G13" s="302">
        <v>9</v>
      </c>
      <c r="H13" s="39">
        <v>24722</v>
      </c>
      <c r="I13" s="296">
        <f>H13</f>
        <v>24722</v>
      </c>
      <c r="J13" s="297">
        <f t="shared" si="2"/>
        <v>3708.2999999999997</v>
      </c>
      <c r="K13" s="297">
        <f t="shared" si="4"/>
        <v>17305.399999999998</v>
      </c>
      <c r="L13" s="297">
        <f t="shared" si="3"/>
        <v>22867.85</v>
      </c>
      <c r="M13" s="297">
        <f t="shared" si="0"/>
        <v>22867.85</v>
      </c>
      <c r="N13" s="297">
        <f t="shared" si="1"/>
        <v>87763.099999999991</v>
      </c>
      <c r="O13" s="298">
        <f t="shared" si="5"/>
        <v>1053157.2</v>
      </c>
    </row>
    <row r="14" spans="1:15" x14ac:dyDescent="0.35">
      <c r="A14" s="300">
        <v>5</v>
      </c>
      <c r="B14" s="1027" t="s">
        <v>11</v>
      </c>
      <c r="C14" s="1028"/>
      <c r="D14" s="1028"/>
      <c r="E14" s="1028"/>
      <c r="F14" s="301">
        <v>1</v>
      </c>
      <c r="G14" s="302">
        <v>9</v>
      </c>
      <c r="H14" s="39">
        <v>24722</v>
      </c>
      <c r="I14" s="296">
        <f t="shared" ref="I14:I20" si="6">H14</f>
        <v>24722</v>
      </c>
      <c r="J14" s="297">
        <f t="shared" si="2"/>
        <v>3708.2999999999997</v>
      </c>
      <c r="K14" s="297">
        <f t="shared" si="4"/>
        <v>17305.399999999998</v>
      </c>
      <c r="L14" s="297">
        <f t="shared" si="3"/>
        <v>22867.85</v>
      </c>
      <c r="M14" s="297">
        <f t="shared" si="0"/>
        <v>22867.85</v>
      </c>
      <c r="N14" s="297">
        <f t="shared" si="1"/>
        <v>87763.099999999991</v>
      </c>
      <c r="O14" s="298">
        <f t="shared" si="5"/>
        <v>1053157.2</v>
      </c>
    </row>
    <row r="15" spans="1:15" x14ac:dyDescent="0.35">
      <c r="A15" s="300">
        <v>6</v>
      </c>
      <c r="B15" s="1183" t="s">
        <v>91</v>
      </c>
      <c r="C15" s="1184"/>
      <c r="D15" s="1184"/>
      <c r="E15" s="1185"/>
      <c r="F15" s="301">
        <v>1</v>
      </c>
      <c r="G15" s="302">
        <v>9</v>
      </c>
      <c r="H15" s="39">
        <v>24722</v>
      </c>
      <c r="I15" s="296">
        <f t="shared" si="6"/>
        <v>24722</v>
      </c>
      <c r="J15" s="297">
        <f t="shared" si="2"/>
        <v>3708.2999999999997</v>
      </c>
      <c r="K15" s="297">
        <f t="shared" si="4"/>
        <v>17305.399999999998</v>
      </c>
      <c r="L15" s="297">
        <f t="shared" si="3"/>
        <v>22867.85</v>
      </c>
      <c r="M15" s="297">
        <f t="shared" si="0"/>
        <v>22867.85</v>
      </c>
      <c r="N15" s="297">
        <f t="shared" si="1"/>
        <v>87763.099999999991</v>
      </c>
      <c r="O15" s="298">
        <f t="shared" si="5"/>
        <v>1053157.2</v>
      </c>
    </row>
    <row r="16" spans="1:15" x14ac:dyDescent="0.35">
      <c r="A16" s="300">
        <v>7</v>
      </c>
      <c r="B16" s="1027" t="s">
        <v>12</v>
      </c>
      <c r="C16" s="1028"/>
      <c r="D16" s="1028"/>
      <c r="E16" s="1028"/>
      <c r="F16" s="301">
        <v>1</v>
      </c>
      <c r="G16" s="302">
        <v>9</v>
      </c>
      <c r="H16" s="39">
        <v>24722</v>
      </c>
      <c r="I16" s="296">
        <f t="shared" si="6"/>
        <v>24722</v>
      </c>
      <c r="J16" s="297">
        <f t="shared" si="2"/>
        <v>3708.2999999999997</v>
      </c>
      <c r="K16" s="297">
        <f t="shared" si="4"/>
        <v>17305.399999999998</v>
      </c>
      <c r="L16" s="297">
        <f t="shared" si="3"/>
        <v>22867.85</v>
      </c>
      <c r="M16" s="297">
        <f t="shared" si="0"/>
        <v>22867.85</v>
      </c>
      <c r="N16" s="297">
        <f t="shared" si="1"/>
        <v>87763.099999999991</v>
      </c>
      <c r="O16" s="298">
        <f t="shared" si="5"/>
        <v>1053157.2</v>
      </c>
    </row>
    <row r="17" spans="1:15" x14ac:dyDescent="0.35">
      <c r="A17" s="300">
        <v>8</v>
      </c>
      <c r="B17" s="1027" t="s">
        <v>13</v>
      </c>
      <c r="C17" s="1028"/>
      <c r="D17" s="1028"/>
      <c r="E17" s="1028"/>
      <c r="F17" s="301">
        <v>2</v>
      </c>
      <c r="G17" s="302">
        <v>7</v>
      </c>
      <c r="H17" s="39">
        <v>19332</v>
      </c>
      <c r="I17" s="296">
        <f t="shared" si="6"/>
        <v>19332</v>
      </c>
      <c r="J17" s="297">
        <f t="shared" si="2"/>
        <v>2899.7999999999997</v>
      </c>
      <c r="K17" s="297">
        <f t="shared" si="4"/>
        <v>13532.4</v>
      </c>
      <c r="L17" s="297">
        <f t="shared" si="3"/>
        <v>17882.099999999999</v>
      </c>
      <c r="M17" s="297">
        <f t="shared" si="0"/>
        <v>17882.099999999999</v>
      </c>
      <c r="N17" s="297">
        <f t="shared" si="1"/>
        <v>68628.600000000006</v>
      </c>
      <c r="O17" s="298">
        <f t="shared" si="5"/>
        <v>823543.20000000007</v>
      </c>
    </row>
    <row r="18" spans="1:15" ht="23.25" customHeight="1" x14ac:dyDescent="0.35">
      <c r="A18" s="300">
        <v>9</v>
      </c>
      <c r="B18" s="1016" t="s">
        <v>93</v>
      </c>
      <c r="C18" s="1017"/>
      <c r="D18" s="1017"/>
      <c r="E18" s="1018"/>
      <c r="F18" s="558">
        <v>2</v>
      </c>
      <c r="G18" s="302">
        <v>13</v>
      </c>
      <c r="H18" s="39">
        <v>36247</v>
      </c>
      <c r="I18" s="297">
        <f>H18*F18</f>
        <v>72494</v>
      </c>
      <c r="J18" s="297">
        <f t="shared" si="2"/>
        <v>5437.05</v>
      </c>
      <c r="K18" s="297">
        <f t="shared" si="4"/>
        <v>50745.799999999996</v>
      </c>
      <c r="L18" s="297">
        <f t="shared" si="3"/>
        <v>64338.425000000003</v>
      </c>
      <c r="M18" s="297">
        <f t="shared" si="0"/>
        <v>64338.425000000003</v>
      </c>
      <c r="N18" s="297">
        <f t="shared" si="1"/>
        <v>251916.64999999997</v>
      </c>
      <c r="O18" s="298">
        <f t="shared" si="5"/>
        <v>3022999.8</v>
      </c>
    </row>
    <row r="19" spans="1:15" ht="19.5" customHeight="1" x14ac:dyDescent="0.35">
      <c r="A19" s="300">
        <v>10</v>
      </c>
      <c r="B19" s="1016" t="s">
        <v>94</v>
      </c>
      <c r="C19" s="1017"/>
      <c r="D19" s="1017"/>
      <c r="E19" s="1018"/>
      <c r="F19" s="301">
        <v>1</v>
      </c>
      <c r="G19" s="302">
        <v>7</v>
      </c>
      <c r="H19" s="39">
        <v>19332</v>
      </c>
      <c r="I19" s="296">
        <f t="shared" si="6"/>
        <v>19332</v>
      </c>
      <c r="J19" s="297">
        <f t="shared" si="2"/>
        <v>2899.7999999999997</v>
      </c>
      <c r="K19" s="297">
        <f t="shared" si="4"/>
        <v>13532.4</v>
      </c>
      <c r="L19" s="297">
        <f t="shared" si="3"/>
        <v>17882.099999999999</v>
      </c>
      <c r="M19" s="297">
        <f t="shared" si="0"/>
        <v>17882.099999999999</v>
      </c>
      <c r="N19" s="297">
        <f t="shared" si="1"/>
        <v>68628.600000000006</v>
      </c>
      <c r="O19" s="298">
        <f t="shared" si="5"/>
        <v>823543.20000000007</v>
      </c>
    </row>
    <row r="20" spans="1:15" ht="16.5" customHeight="1" x14ac:dyDescent="0.35">
      <c r="A20" s="300">
        <v>11</v>
      </c>
      <c r="B20" s="1016" t="s">
        <v>14</v>
      </c>
      <c r="C20" s="1017"/>
      <c r="D20" s="1017"/>
      <c r="E20" s="1018"/>
      <c r="F20" s="301">
        <v>1</v>
      </c>
      <c r="G20" s="302">
        <v>7</v>
      </c>
      <c r="H20" s="39">
        <v>19332</v>
      </c>
      <c r="I20" s="296">
        <f t="shared" si="6"/>
        <v>19332</v>
      </c>
      <c r="J20" s="297">
        <f t="shared" si="2"/>
        <v>2899.7999999999997</v>
      </c>
      <c r="K20" s="297">
        <f t="shared" si="4"/>
        <v>13532.4</v>
      </c>
      <c r="L20" s="297">
        <f t="shared" si="3"/>
        <v>17882.099999999999</v>
      </c>
      <c r="M20" s="297">
        <f t="shared" si="0"/>
        <v>17882.099999999999</v>
      </c>
      <c r="N20" s="297">
        <f t="shared" si="1"/>
        <v>68628.600000000006</v>
      </c>
      <c r="O20" s="298">
        <f t="shared" si="5"/>
        <v>823543.20000000007</v>
      </c>
    </row>
    <row r="21" spans="1:15" ht="15.75" customHeight="1" x14ac:dyDescent="0.35">
      <c r="A21" s="300">
        <v>12</v>
      </c>
      <c r="B21" s="261" t="s">
        <v>92</v>
      </c>
      <c r="C21" s="262"/>
      <c r="D21" s="262"/>
      <c r="E21" s="262"/>
      <c r="F21" s="301">
        <v>1</v>
      </c>
      <c r="G21" s="302">
        <v>9</v>
      </c>
      <c r="H21" s="39">
        <v>24722</v>
      </c>
      <c r="I21" s="296">
        <f>H21</f>
        <v>24722</v>
      </c>
      <c r="J21" s="297">
        <f t="shared" si="2"/>
        <v>3708.2999999999997</v>
      </c>
      <c r="K21" s="297">
        <f>I21*0.7</f>
        <v>17305.399999999998</v>
      </c>
      <c r="L21" s="297">
        <f t="shared" si="3"/>
        <v>22867.85</v>
      </c>
      <c r="M21" s="297">
        <f t="shared" si="0"/>
        <v>22867.85</v>
      </c>
      <c r="N21" s="297">
        <f t="shared" si="1"/>
        <v>87763.099999999991</v>
      </c>
      <c r="O21" s="298">
        <f>N21*12</f>
        <v>1053157.2</v>
      </c>
    </row>
    <row r="22" spans="1:15" x14ac:dyDescent="0.35">
      <c r="A22" s="300">
        <v>13</v>
      </c>
      <c r="B22" s="261" t="s">
        <v>96</v>
      </c>
      <c r="C22" s="262"/>
      <c r="D22" s="262"/>
      <c r="E22" s="262"/>
      <c r="F22" s="301">
        <v>0.5</v>
      </c>
      <c r="G22" s="302">
        <v>6</v>
      </c>
      <c r="H22" s="39">
        <v>17101</v>
      </c>
      <c r="I22" s="297">
        <f>H22*F22</f>
        <v>8550.5</v>
      </c>
      <c r="J22" s="297">
        <f t="shared" si="2"/>
        <v>2565.15</v>
      </c>
      <c r="K22" s="297">
        <f>I22*0.7</f>
        <v>5985.3499999999995</v>
      </c>
      <c r="L22" s="297">
        <f t="shared" si="3"/>
        <v>8550.5</v>
      </c>
      <c r="M22" s="297">
        <f t="shared" si="0"/>
        <v>8550.5</v>
      </c>
      <c r="N22" s="297">
        <f t="shared" si="1"/>
        <v>31636.85</v>
      </c>
      <c r="O22" s="298">
        <f>N22*12</f>
        <v>379642.19999999995</v>
      </c>
    </row>
    <row r="23" spans="1:15" x14ac:dyDescent="0.35">
      <c r="A23" s="300">
        <v>14</v>
      </c>
      <c r="B23" s="253" t="s">
        <v>97</v>
      </c>
      <c r="C23" s="254"/>
      <c r="D23" s="254"/>
      <c r="E23" s="254"/>
      <c r="F23" s="301">
        <v>0.5</v>
      </c>
      <c r="G23" s="302">
        <v>3</v>
      </c>
      <c r="H23" s="39">
        <v>11896</v>
      </c>
      <c r="I23" s="297">
        <f>H23*F23</f>
        <v>5948</v>
      </c>
      <c r="J23" s="297">
        <f t="shared" si="2"/>
        <v>1784.3999999999999</v>
      </c>
      <c r="K23" s="297">
        <f>I23*0.7</f>
        <v>4163.5999999999995</v>
      </c>
      <c r="L23" s="297">
        <f t="shared" si="3"/>
        <v>5948</v>
      </c>
      <c r="M23" s="297">
        <f t="shared" si="0"/>
        <v>5948</v>
      </c>
      <c r="N23" s="297">
        <f t="shared" si="1"/>
        <v>22007.599999999999</v>
      </c>
      <c r="O23" s="298">
        <f>N23*12</f>
        <v>264091.19999999995</v>
      </c>
    </row>
    <row r="24" spans="1:15" x14ac:dyDescent="0.35">
      <c r="A24" s="767">
        <v>15</v>
      </c>
      <c r="B24" s="769" t="s">
        <v>1257</v>
      </c>
      <c r="C24" s="770"/>
      <c r="D24" s="770"/>
      <c r="E24" s="770"/>
      <c r="F24" s="32">
        <v>1</v>
      </c>
      <c r="G24" s="302">
        <v>3</v>
      </c>
      <c r="H24" s="39">
        <v>11896</v>
      </c>
      <c r="I24" s="296">
        <f>H24</f>
        <v>11896</v>
      </c>
      <c r="J24" s="297">
        <f t="shared" ref="J24" si="7">H24*15%</f>
        <v>1784.3999999999999</v>
      </c>
      <c r="K24" s="297">
        <f>I24*0.7</f>
        <v>8327.1999999999989</v>
      </c>
      <c r="L24" s="297">
        <f t="shared" ref="L24" si="8">(I24+J24+K24)*0.5</f>
        <v>11003.8</v>
      </c>
      <c r="M24" s="297">
        <f t="shared" si="0"/>
        <v>11003.8</v>
      </c>
      <c r="N24" s="297">
        <f t="shared" si="1"/>
        <v>42230.799999999996</v>
      </c>
      <c r="O24" s="298">
        <f>N24*12</f>
        <v>506769.6</v>
      </c>
    </row>
    <row r="25" spans="1:15" ht="15" thickBot="1" x14ac:dyDescent="0.4">
      <c r="A25" s="260">
        <v>16</v>
      </c>
      <c r="B25" s="965" t="s">
        <v>1338</v>
      </c>
      <c r="C25" s="966"/>
      <c r="D25" s="966"/>
      <c r="E25" s="967"/>
      <c r="F25" s="32">
        <v>1</v>
      </c>
      <c r="G25" s="302">
        <v>7</v>
      </c>
      <c r="H25" s="39">
        <v>19332</v>
      </c>
      <c r="I25" s="296">
        <f>H25</f>
        <v>19332</v>
      </c>
      <c r="J25" s="297">
        <f t="shared" si="2"/>
        <v>2899.7999999999997</v>
      </c>
      <c r="K25" s="297">
        <f>I25*0.7</f>
        <v>13532.4</v>
      </c>
      <c r="L25" s="297">
        <f t="shared" si="3"/>
        <v>17882.099999999999</v>
      </c>
      <c r="M25" s="297">
        <f t="shared" ref="M25" si="9">L25</f>
        <v>17882.099999999999</v>
      </c>
      <c r="N25" s="297">
        <f t="shared" ref="N25" si="10">I25+K25+L25+M25</f>
        <v>68628.600000000006</v>
      </c>
      <c r="O25" s="298">
        <f>N25*12</f>
        <v>823543.20000000007</v>
      </c>
    </row>
    <row r="26" spans="1:15" ht="15" thickBot="1" x14ac:dyDescent="0.4">
      <c r="A26" s="1047" t="s">
        <v>84</v>
      </c>
      <c r="B26" s="1048"/>
      <c r="C26" s="1048"/>
      <c r="D26" s="1048"/>
      <c r="E26" s="1049"/>
      <c r="F26" s="303">
        <f>SUM(F10:F25)</f>
        <v>17</v>
      </c>
      <c r="G26" s="304"/>
      <c r="H26" s="305">
        <f t="shared" ref="H26:J26" si="11">SUM(H10:H25)</f>
        <v>419812</v>
      </c>
      <c r="I26" s="305">
        <f t="shared" si="11"/>
        <v>441560.5</v>
      </c>
      <c r="J26" s="305">
        <f t="shared" si="11"/>
        <v>62971.800000000017</v>
      </c>
      <c r="K26" s="305">
        <f>SUM(K10:K25)</f>
        <v>309092.34999999992</v>
      </c>
      <c r="L26" s="305">
        <f>SUM(L10:L25)</f>
        <v>406812.3249999999</v>
      </c>
      <c r="M26" s="305">
        <f>SUM(M10:M25)</f>
        <v>406812.3249999999</v>
      </c>
      <c r="N26" s="305">
        <f>SUM(N10:N25)</f>
        <v>1564277.5000000005</v>
      </c>
      <c r="O26" s="305">
        <f>SUM(O10:O25)</f>
        <v>18771329.999999996</v>
      </c>
    </row>
    <row r="27" spans="1:15" ht="15" thickBot="1" x14ac:dyDescent="0.4">
      <c r="A27" s="289"/>
      <c r="B27" s="289"/>
      <c r="C27" s="306" t="s">
        <v>16</v>
      </c>
      <c r="D27" s="306"/>
      <c r="E27" s="306"/>
      <c r="F27" s="306"/>
      <c r="G27" s="306"/>
      <c r="H27" s="306"/>
      <c r="I27" s="306"/>
      <c r="J27" s="306"/>
      <c r="K27" s="306"/>
      <c r="L27" s="306"/>
      <c r="M27" s="289"/>
      <c r="N27" s="289"/>
      <c r="O27" s="289"/>
    </row>
    <row r="28" spans="1:15" ht="15" thickBot="1" x14ac:dyDescent="0.4">
      <c r="A28" s="1142" t="s">
        <v>0</v>
      </c>
      <c r="B28" s="1155" t="s">
        <v>1</v>
      </c>
      <c r="C28" s="1156"/>
      <c r="D28" s="1156"/>
      <c r="E28" s="1157"/>
      <c r="F28" s="1144" t="s">
        <v>75</v>
      </c>
      <c r="G28" s="1142" t="s">
        <v>76</v>
      </c>
      <c r="H28" s="1144" t="s">
        <v>77</v>
      </c>
      <c r="I28" s="1146" t="s">
        <v>78</v>
      </c>
      <c r="J28" s="1147"/>
      <c r="K28" s="1148"/>
      <c r="L28" s="1148"/>
      <c r="M28" s="1148"/>
      <c r="N28" s="1182"/>
      <c r="O28" s="1150" t="s">
        <v>79</v>
      </c>
    </row>
    <row r="29" spans="1:15" ht="20.25" customHeight="1" thickBot="1" x14ac:dyDescent="0.4">
      <c r="A29" s="1143"/>
      <c r="B29" s="1158"/>
      <c r="C29" s="1159"/>
      <c r="D29" s="1159"/>
      <c r="E29" s="1160"/>
      <c r="F29" s="1145"/>
      <c r="G29" s="1143"/>
      <c r="H29" s="1145"/>
      <c r="I29" s="307" t="s">
        <v>80</v>
      </c>
      <c r="J29" s="307" t="s">
        <v>1334</v>
      </c>
      <c r="K29" s="307" t="s">
        <v>81</v>
      </c>
      <c r="L29" s="292" t="s">
        <v>82</v>
      </c>
      <c r="M29" s="307" t="s">
        <v>83</v>
      </c>
      <c r="N29" s="292" t="s">
        <v>84</v>
      </c>
      <c r="O29" s="1151"/>
    </row>
    <row r="30" spans="1:15" ht="21.75" customHeight="1" x14ac:dyDescent="0.35">
      <c r="A30" s="308">
        <v>1</v>
      </c>
      <c r="B30" s="1181" t="s">
        <v>95</v>
      </c>
      <c r="C30" s="1181"/>
      <c r="D30" s="1181"/>
      <c r="E30" s="1181"/>
      <c r="F30" s="295">
        <v>1</v>
      </c>
      <c r="G30" s="309">
        <v>8</v>
      </c>
      <c r="H30" s="310">
        <v>21841</v>
      </c>
      <c r="I30" s="296">
        <f>H30</f>
        <v>21841</v>
      </c>
      <c r="J30" s="297">
        <f t="shared" ref="J30:J37" si="12">H30*15%</f>
        <v>3276.15</v>
      </c>
      <c r="K30" s="297">
        <f t="shared" ref="K30:K36" si="13">I30*0.7</f>
        <v>15288.699999999999</v>
      </c>
      <c r="L30" s="297">
        <f t="shared" ref="L30:L37" si="14">(I30+J30+K30)*0.5</f>
        <v>20202.924999999999</v>
      </c>
      <c r="M30" s="297">
        <f t="shared" ref="M30" si="15">L30</f>
        <v>20202.924999999999</v>
      </c>
      <c r="N30" s="297">
        <f t="shared" ref="N30" si="16">I30+K30+L30+M30</f>
        <v>77535.55</v>
      </c>
      <c r="O30" s="298">
        <f t="shared" ref="O30:O37" si="17">N30*12</f>
        <v>930426.60000000009</v>
      </c>
    </row>
    <row r="31" spans="1:15" ht="23" customHeight="1" x14ac:dyDescent="0.35">
      <c r="A31" s="311">
        <v>2</v>
      </c>
      <c r="B31" s="1031" t="s">
        <v>1454</v>
      </c>
      <c r="C31" s="1031"/>
      <c r="D31" s="1031"/>
      <c r="E31" s="1031"/>
      <c r="F31" s="302">
        <v>2</v>
      </c>
      <c r="G31" s="327">
        <v>4</v>
      </c>
      <c r="H31" s="311">
        <v>13383</v>
      </c>
      <c r="I31" s="296">
        <f>H31</f>
        <v>13383</v>
      </c>
      <c r="J31" s="297">
        <f t="shared" si="12"/>
        <v>2007.4499999999998</v>
      </c>
      <c r="K31" s="297">
        <f t="shared" si="13"/>
        <v>9368.0999999999985</v>
      </c>
      <c r="L31" s="297">
        <f t="shared" si="14"/>
        <v>12379.275</v>
      </c>
      <c r="M31" s="297">
        <f t="shared" ref="M31:M32" si="18">L31</f>
        <v>12379.275</v>
      </c>
      <c r="N31" s="297">
        <f t="shared" ref="N31:N32" si="19">I31+K31+L31+M31</f>
        <v>47509.65</v>
      </c>
      <c r="O31" s="298">
        <f t="shared" si="17"/>
        <v>570115.80000000005</v>
      </c>
    </row>
    <row r="32" spans="1:15" ht="15" customHeight="1" x14ac:dyDescent="0.35">
      <c r="A32" s="312">
        <v>3</v>
      </c>
      <c r="B32" s="970" t="s">
        <v>85</v>
      </c>
      <c r="C32" s="971"/>
      <c r="D32" s="971"/>
      <c r="E32" s="1007"/>
      <c r="F32" s="774">
        <v>1</v>
      </c>
      <c r="G32" s="302">
        <v>7</v>
      </c>
      <c r="H32" s="39">
        <v>19332</v>
      </c>
      <c r="I32" s="296">
        <f>H32</f>
        <v>19332</v>
      </c>
      <c r="J32" s="297">
        <f t="shared" ref="J32:J35" si="20">H32*15%</f>
        <v>2899.7999999999997</v>
      </c>
      <c r="K32" s="297">
        <f t="shared" si="13"/>
        <v>13532.4</v>
      </c>
      <c r="L32" s="297">
        <f t="shared" ref="L32:L35" si="21">(I32+J32+K32)*0.5</f>
        <v>17882.099999999999</v>
      </c>
      <c r="M32" s="297">
        <f t="shared" si="18"/>
        <v>17882.099999999999</v>
      </c>
      <c r="N32" s="297">
        <f t="shared" si="19"/>
        <v>68628.600000000006</v>
      </c>
      <c r="O32" s="298">
        <f t="shared" si="17"/>
        <v>823543.20000000007</v>
      </c>
    </row>
    <row r="33" spans="1:15" x14ac:dyDescent="0.35">
      <c r="A33" s="314">
        <v>4</v>
      </c>
      <c r="B33" s="772" t="s">
        <v>98</v>
      </c>
      <c r="C33" s="772"/>
      <c r="D33" s="772"/>
      <c r="E33" s="772"/>
      <c r="F33" s="768">
        <v>1</v>
      </c>
      <c r="G33" s="773">
        <v>8</v>
      </c>
      <c r="H33" s="310">
        <v>21841</v>
      </c>
      <c r="I33" s="296">
        <f>H33*F33</f>
        <v>21841</v>
      </c>
      <c r="J33" s="297">
        <f t="shared" si="20"/>
        <v>3276.15</v>
      </c>
      <c r="K33" s="297">
        <f t="shared" si="13"/>
        <v>15288.699999999999</v>
      </c>
      <c r="L33" s="297">
        <f t="shared" si="21"/>
        <v>20202.924999999999</v>
      </c>
      <c r="M33" s="297">
        <f>L33</f>
        <v>20202.924999999999</v>
      </c>
      <c r="N33" s="297">
        <f>I33+K33+L33+M33</f>
        <v>77535.55</v>
      </c>
      <c r="O33" s="298">
        <f t="shared" si="17"/>
        <v>930426.60000000009</v>
      </c>
    </row>
    <row r="34" spans="1:15" x14ac:dyDescent="0.35">
      <c r="A34" s="315">
        <v>5</v>
      </c>
      <c r="B34" s="772" t="s">
        <v>99</v>
      </c>
      <c r="C34" s="772"/>
      <c r="D34" s="772"/>
      <c r="E34" s="772"/>
      <c r="F34" s="768">
        <v>1</v>
      </c>
      <c r="G34" s="773">
        <v>8</v>
      </c>
      <c r="H34" s="310">
        <v>21841</v>
      </c>
      <c r="I34" s="296">
        <f>H34*F34</f>
        <v>21841</v>
      </c>
      <c r="J34" s="297">
        <f t="shared" si="20"/>
        <v>3276.15</v>
      </c>
      <c r="K34" s="297">
        <f t="shared" si="13"/>
        <v>15288.699999999999</v>
      </c>
      <c r="L34" s="297">
        <f t="shared" si="21"/>
        <v>20202.924999999999</v>
      </c>
      <c r="M34" s="297">
        <f>L34</f>
        <v>20202.924999999999</v>
      </c>
      <c r="N34" s="297">
        <f>I34+K34+L34+M34</f>
        <v>77535.55</v>
      </c>
      <c r="O34" s="298">
        <f t="shared" si="17"/>
        <v>930426.60000000009</v>
      </c>
    </row>
    <row r="35" spans="1:15" x14ac:dyDescent="0.35">
      <c r="A35" s="315">
        <v>6</v>
      </c>
      <c r="B35" s="946" t="s">
        <v>1443</v>
      </c>
      <c r="C35" s="946"/>
      <c r="D35" s="946"/>
      <c r="E35" s="946"/>
      <c r="F35" s="775">
        <v>1</v>
      </c>
      <c r="G35" s="302">
        <v>8</v>
      </c>
      <c r="H35" s="39">
        <v>21841</v>
      </c>
      <c r="I35" s="296">
        <f>H35*F35</f>
        <v>21841</v>
      </c>
      <c r="J35" s="297">
        <f t="shared" si="20"/>
        <v>3276.15</v>
      </c>
      <c r="K35" s="297">
        <f t="shared" si="13"/>
        <v>15288.699999999999</v>
      </c>
      <c r="L35" s="297">
        <f t="shared" si="21"/>
        <v>20202.924999999999</v>
      </c>
      <c r="M35" s="297">
        <f>L35</f>
        <v>20202.924999999999</v>
      </c>
      <c r="N35" s="297">
        <f>I35+K35+L35+M35</f>
        <v>77535.55</v>
      </c>
      <c r="O35" s="298">
        <f t="shared" si="17"/>
        <v>930426.60000000009</v>
      </c>
    </row>
    <row r="36" spans="1:15" x14ac:dyDescent="0.35">
      <c r="A36" s="312">
        <v>7</v>
      </c>
      <c r="B36" s="946" t="s">
        <v>1453</v>
      </c>
      <c r="C36" s="946"/>
      <c r="D36" s="946"/>
      <c r="E36" s="946"/>
      <c r="F36" s="317">
        <v>1</v>
      </c>
      <c r="G36" s="302">
        <v>8</v>
      </c>
      <c r="H36" s="39">
        <v>21841</v>
      </c>
      <c r="I36" s="296">
        <f>H36*F36</f>
        <v>21841</v>
      </c>
      <c r="J36" s="297">
        <f t="shared" si="12"/>
        <v>3276.15</v>
      </c>
      <c r="K36" s="297">
        <f t="shared" si="13"/>
        <v>15288.699999999999</v>
      </c>
      <c r="L36" s="297">
        <f t="shared" si="14"/>
        <v>20202.924999999999</v>
      </c>
      <c r="M36" s="297">
        <f>L36</f>
        <v>20202.924999999999</v>
      </c>
      <c r="N36" s="297">
        <f>I36+K36+L36+M36</f>
        <v>77535.55</v>
      </c>
      <c r="O36" s="298">
        <f t="shared" si="17"/>
        <v>930426.60000000009</v>
      </c>
    </row>
    <row r="37" spans="1:15" ht="15" thickBot="1" x14ac:dyDescent="0.4">
      <c r="A37" s="318">
        <v>8</v>
      </c>
      <c r="B37" s="1180" t="s">
        <v>86</v>
      </c>
      <c r="C37" s="1180"/>
      <c r="D37" s="1180"/>
      <c r="E37" s="1180"/>
      <c r="F37" s="40">
        <v>4</v>
      </c>
      <c r="G37" s="319">
        <v>8</v>
      </c>
      <c r="H37" s="310">
        <v>21841</v>
      </c>
      <c r="I37" s="320">
        <f>H37*F37</f>
        <v>87364</v>
      </c>
      <c r="J37" s="297">
        <f t="shared" si="12"/>
        <v>3276.15</v>
      </c>
      <c r="K37" s="321">
        <f>I37*0.75</f>
        <v>65523</v>
      </c>
      <c r="L37" s="297">
        <f t="shared" si="14"/>
        <v>78081.574999999997</v>
      </c>
      <c r="M37" s="321">
        <f>L37</f>
        <v>78081.574999999997</v>
      </c>
      <c r="N37" s="321">
        <f>I37+K37+L37+M37</f>
        <v>309050.15000000002</v>
      </c>
      <c r="O37" s="779">
        <f t="shared" si="17"/>
        <v>3708601.8000000003</v>
      </c>
    </row>
    <row r="38" spans="1:15" ht="15" thickBot="1" x14ac:dyDescent="0.4">
      <c r="A38" s="1047" t="s">
        <v>84</v>
      </c>
      <c r="B38" s="1048"/>
      <c r="C38" s="1048"/>
      <c r="D38" s="1048"/>
      <c r="E38" s="1049"/>
      <c r="F38" s="303">
        <f>SUM(F30:F37)</f>
        <v>12</v>
      </c>
      <c r="G38" s="304"/>
      <c r="H38" s="305">
        <f t="shared" ref="H38:J38" si="22">SUM(H30:H37)</f>
        <v>163761</v>
      </c>
      <c r="I38" s="305">
        <f t="shared" si="22"/>
        <v>229284</v>
      </c>
      <c r="J38" s="305">
        <f t="shared" si="22"/>
        <v>24564.15</v>
      </c>
      <c r="K38" s="305">
        <f>SUM(K30:K37)</f>
        <v>164867</v>
      </c>
      <c r="L38" s="305">
        <f>SUM(L30:L37)</f>
        <v>209357.57500000001</v>
      </c>
      <c r="M38" s="305">
        <f>SUM(M30:M37)</f>
        <v>209357.57500000001</v>
      </c>
      <c r="N38" s="305">
        <f>SUM(N30:N37)</f>
        <v>812866.15</v>
      </c>
      <c r="O38" s="322">
        <f>SUM(O30:O37)</f>
        <v>9754393.8000000007</v>
      </c>
    </row>
    <row r="39" spans="1:15" ht="15" thickBot="1" x14ac:dyDescent="0.4">
      <c r="A39" s="323"/>
      <c r="B39" s="289"/>
      <c r="C39" s="306" t="s">
        <v>18</v>
      </c>
      <c r="D39" s="306"/>
      <c r="E39" s="306"/>
      <c r="F39" s="306"/>
      <c r="G39" s="306"/>
      <c r="H39" s="306"/>
      <c r="I39" s="306"/>
      <c r="J39" s="306"/>
      <c r="K39" s="306"/>
      <c r="L39" s="306"/>
      <c r="M39" s="289"/>
      <c r="N39" s="289"/>
      <c r="O39" s="289"/>
    </row>
    <row r="40" spans="1:15" ht="15" thickBot="1" x14ac:dyDescent="0.4">
      <c r="A40" s="1142" t="s">
        <v>0</v>
      </c>
      <c r="B40" s="1155" t="s">
        <v>1</v>
      </c>
      <c r="C40" s="1156"/>
      <c r="D40" s="1156"/>
      <c r="E40" s="1169"/>
      <c r="F40" s="1142" t="s">
        <v>75</v>
      </c>
      <c r="G40" s="1142" t="s">
        <v>76</v>
      </c>
      <c r="H40" s="1176" t="s">
        <v>77</v>
      </c>
      <c r="I40" s="1178" t="s">
        <v>78</v>
      </c>
      <c r="J40" s="1161"/>
      <c r="K40" s="1162"/>
      <c r="L40" s="1162"/>
      <c r="M40" s="1162"/>
      <c r="N40" s="1163"/>
      <c r="O40" s="1150" t="s">
        <v>79</v>
      </c>
    </row>
    <row r="41" spans="1:15" ht="16.5" customHeight="1" thickBot="1" x14ac:dyDescent="0.4">
      <c r="A41" s="1143"/>
      <c r="B41" s="1158"/>
      <c r="C41" s="1159"/>
      <c r="D41" s="1159"/>
      <c r="E41" s="1171"/>
      <c r="F41" s="1143"/>
      <c r="G41" s="1143"/>
      <c r="H41" s="1177"/>
      <c r="I41" s="307" t="s">
        <v>80</v>
      </c>
      <c r="J41" s="307" t="s">
        <v>1334</v>
      </c>
      <c r="K41" s="307" t="s">
        <v>81</v>
      </c>
      <c r="L41" s="307" t="s">
        <v>82</v>
      </c>
      <c r="M41" s="307" t="s">
        <v>83</v>
      </c>
      <c r="N41" s="324" t="s">
        <v>84</v>
      </c>
      <c r="O41" s="1151"/>
    </row>
    <row r="42" spans="1:15" ht="21.75" customHeight="1" x14ac:dyDescent="0.35">
      <c r="A42" s="308">
        <v>1</v>
      </c>
      <c r="B42" s="1179" t="s">
        <v>100</v>
      </c>
      <c r="C42" s="1179"/>
      <c r="D42" s="1179"/>
      <c r="E42" s="1179"/>
      <c r="F42" s="309">
        <v>2</v>
      </c>
      <c r="G42" s="309">
        <v>2</v>
      </c>
      <c r="H42" s="310">
        <v>10502</v>
      </c>
      <c r="I42" s="310">
        <f t="shared" ref="I42:I49" si="23">H42*F42</f>
        <v>21004</v>
      </c>
      <c r="J42" s="297">
        <f t="shared" ref="J42:J53" si="24">H42*15%</f>
        <v>1575.3</v>
      </c>
      <c r="K42" s="325">
        <f t="shared" ref="K42:K45" si="25">I42*0.7</f>
        <v>14702.8</v>
      </c>
      <c r="L42" s="297">
        <f t="shared" ref="L42:L53" si="26">(I42+J42+K42)*0.5</f>
        <v>18641.05</v>
      </c>
      <c r="M42" s="325">
        <f t="shared" ref="M42:M45" si="27">L42</f>
        <v>18641.05</v>
      </c>
      <c r="N42" s="325">
        <f t="shared" ref="N42:N45" si="28">I42+K42+L42+M42</f>
        <v>72988.900000000009</v>
      </c>
      <c r="O42" s="326">
        <f t="shared" ref="O42:O45" si="29">N42*12</f>
        <v>875866.8</v>
      </c>
    </row>
    <row r="43" spans="1:15" ht="23.25" customHeight="1" x14ac:dyDescent="0.35">
      <c r="A43" s="311">
        <v>2</v>
      </c>
      <c r="B43" s="1175" t="s">
        <v>101</v>
      </c>
      <c r="C43" s="1175"/>
      <c r="D43" s="1175"/>
      <c r="E43" s="1175"/>
      <c r="F43" s="327">
        <v>3</v>
      </c>
      <c r="G43" s="327">
        <v>3</v>
      </c>
      <c r="H43" s="328">
        <v>11896</v>
      </c>
      <c r="I43" s="328">
        <f t="shared" si="23"/>
        <v>35688</v>
      </c>
      <c r="J43" s="297">
        <f t="shared" si="24"/>
        <v>1784.3999999999999</v>
      </c>
      <c r="K43" s="329">
        <f t="shared" si="25"/>
        <v>24981.599999999999</v>
      </c>
      <c r="L43" s="297">
        <f t="shared" si="26"/>
        <v>31227</v>
      </c>
      <c r="M43" s="329">
        <f t="shared" si="27"/>
        <v>31227</v>
      </c>
      <c r="N43" s="329">
        <f t="shared" si="28"/>
        <v>123123.6</v>
      </c>
      <c r="O43" s="330">
        <f t="shared" si="29"/>
        <v>1477483.2000000002</v>
      </c>
    </row>
    <row r="44" spans="1:15" ht="24" customHeight="1" x14ac:dyDescent="0.35">
      <c r="A44" s="311">
        <v>3</v>
      </c>
      <c r="B44" s="1175" t="s">
        <v>102</v>
      </c>
      <c r="C44" s="1175"/>
      <c r="D44" s="1175"/>
      <c r="E44" s="1175"/>
      <c r="F44" s="327">
        <v>5</v>
      </c>
      <c r="G44" s="327">
        <v>4</v>
      </c>
      <c r="H44" s="311">
        <v>13383</v>
      </c>
      <c r="I44" s="328">
        <f t="shared" si="23"/>
        <v>66915</v>
      </c>
      <c r="J44" s="297">
        <f t="shared" si="24"/>
        <v>2007.4499999999998</v>
      </c>
      <c r="K44" s="329">
        <f t="shared" si="25"/>
        <v>46840.5</v>
      </c>
      <c r="L44" s="297">
        <f t="shared" si="26"/>
        <v>57881.474999999999</v>
      </c>
      <c r="M44" s="329">
        <f t="shared" si="27"/>
        <v>57881.474999999999</v>
      </c>
      <c r="N44" s="329">
        <f t="shared" si="28"/>
        <v>229518.45</v>
      </c>
      <c r="O44" s="330">
        <f t="shared" si="29"/>
        <v>2754221.4000000004</v>
      </c>
    </row>
    <row r="45" spans="1:15" ht="24" customHeight="1" x14ac:dyDescent="0.35">
      <c r="A45" s="308"/>
      <c r="B45" s="1175" t="s">
        <v>1460</v>
      </c>
      <c r="C45" s="1175"/>
      <c r="D45" s="1175"/>
      <c r="E45" s="1175"/>
      <c r="F45" s="32">
        <v>2</v>
      </c>
      <c r="G45" s="775">
        <v>5</v>
      </c>
      <c r="H45" s="332">
        <v>15149</v>
      </c>
      <c r="I45" s="328">
        <f t="shared" si="23"/>
        <v>30298</v>
      </c>
      <c r="J45" s="297">
        <f t="shared" si="24"/>
        <v>2272.35</v>
      </c>
      <c r="K45" s="329">
        <f t="shared" si="25"/>
        <v>21208.6</v>
      </c>
      <c r="L45" s="297">
        <f t="shared" si="26"/>
        <v>26889.474999999999</v>
      </c>
      <c r="M45" s="329">
        <f t="shared" si="27"/>
        <v>26889.474999999999</v>
      </c>
      <c r="N45" s="329">
        <f t="shared" si="28"/>
        <v>105285.54999999999</v>
      </c>
      <c r="O45" s="330">
        <f t="shared" si="29"/>
        <v>1263426.5999999999</v>
      </c>
    </row>
    <row r="46" spans="1:15" ht="24" customHeight="1" x14ac:dyDescent="0.35">
      <c r="A46" s="308">
        <v>4</v>
      </c>
      <c r="B46" s="1175" t="s">
        <v>1444</v>
      </c>
      <c r="C46" s="1175"/>
      <c r="D46" s="1175"/>
      <c r="E46" s="1175"/>
      <c r="F46" s="309">
        <v>2</v>
      </c>
      <c r="G46" s="295">
        <v>3</v>
      </c>
      <c r="H46" s="328">
        <v>11896</v>
      </c>
      <c r="I46" s="310">
        <f t="shared" si="23"/>
        <v>23792</v>
      </c>
      <c r="J46" s="297">
        <f t="shared" si="24"/>
        <v>1784.3999999999999</v>
      </c>
      <c r="K46" s="325">
        <f>I46*0.7</f>
        <v>16654.399999999998</v>
      </c>
      <c r="L46" s="297">
        <f t="shared" si="26"/>
        <v>21115.4</v>
      </c>
      <c r="M46" s="325">
        <f>L46</f>
        <v>21115.4</v>
      </c>
      <c r="N46" s="325">
        <f t="shared" ref="N46:N49" si="30">I46+K46+L46+M46</f>
        <v>82677.2</v>
      </c>
      <c r="O46" s="326">
        <f>N46*12</f>
        <v>992126.39999999991</v>
      </c>
    </row>
    <row r="47" spans="1:15" ht="21.75" customHeight="1" x14ac:dyDescent="0.35">
      <c r="A47" s="331">
        <v>5</v>
      </c>
      <c r="B47" s="1175" t="s">
        <v>1459</v>
      </c>
      <c r="C47" s="1175"/>
      <c r="D47" s="1175"/>
      <c r="E47" s="1175"/>
      <c r="F47" s="32">
        <v>8</v>
      </c>
      <c r="G47" s="302">
        <v>4</v>
      </c>
      <c r="H47" s="311">
        <v>13383</v>
      </c>
      <c r="I47" s="328">
        <f t="shared" si="23"/>
        <v>107064</v>
      </c>
      <c r="J47" s="297">
        <f t="shared" si="24"/>
        <v>2007.4499999999998</v>
      </c>
      <c r="K47" s="329">
        <f t="shared" ref="K47:K48" si="31">I47*0.7</f>
        <v>74944.799999999988</v>
      </c>
      <c r="L47" s="297">
        <f t="shared" si="26"/>
        <v>92008.125</v>
      </c>
      <c r="M47" s="329">
        <f t="shared" ref="M47:M53" si="32">L47</f>
        <v>92008.125</v>
      </c>
      <c r="N47" s="329">
        <f t="shared" si="30"/>
        <v>366025.05</v>
      </c>
      <c r="O47" s="330">
        <f t="shared" ref="O47:O49" si="33">N47*12</f>
        <v>4392300.5999999996</v>
      </c>
    </row>
    <row r="48" spans="1:15" ht="23.25" customHeight="1" x14ac:dyDescent="0.35">
      <c r="A48" s="331">
        <v>6</v>
      </c>
      <c r="B48" s="1175" t="s">
        <v>103</v>
      </c>
      <c r="C48" s="1175"/>
      <c r="D48" s="1175"/>
      <c r="E48" s="1175"/>
      <c r="F48" s="32">
        <v>2</v>
      </c>
      <c r="G48" s="302">
        <v>3</v>
      </c>
      <c r="H48" s="328">
        <v>11896</v>
      </c>
      <c r="I48" s="328">
        <f t="shared" si="23"/>
        <v>23792</v>
      </c>
      <c r="J48" s="297">
        <f t="shared" si="24"/>
        <v>1784.3999999999999</v>
      </c>
      <c r="K48" s="329">
        <f t="shared" si="31"/>
        <v>16654.399999999998</v>
      </c>
      <c r="L48" s="297">
        <f t="shared" si="26"/>
        <v>21115.4</v>
      </c>
      <c r="M48" s="329">
        <f t="shared" si="32"/>
        <v>21115.4</v>
      </c>
      <c r="N48" s="329">
        <f t="shared" si="30"/>
        <v>82677.2</v>
      </c>
      <c r="O48" s="330">
        <f t="shared" si="33"/>
        <v>992126.39999999991</v>
      </c>
    </row>
    <row r="49" spans="1:15" ht="24.75" customHeight="1" x14ac:dyDescent="0.35">
      <c r="A49" s="331">
        <v>7</v>
      </c>
      <c r="B49" s="1175" t="s">
        <v>104</v>
      </c>
      <c r="C49" s="1175"/>
      <c r="D49" s="1175"/>
      <c r="E49" s="1175"/>
      <c r="F49" s="32">
        <v>4</v>
      </c>
      <c r="G49" s="302">
        <v>4</v>
      </c>
      <c r="H49" s="311">
        <v>13383</v>
      </c>
      <c r="I49" s="328">
        <f t="shared" si="23"/>
        <v>53532</v>
      </c>
      <c r="J49" s="297">
        <f t="shared" si="24"/>
        <v>2007.4499999999998</v>
      </c>
      <c r="K49" s="329">
        <f>I49*0.7</f>
        <v>37472.399999999994</v>
      </c>
      <c r="L49" s="297">
        <f t="shared" si="26"/>
        <v>46505.924999999996</v>
      </c>
      <c r="M49" s="329">
        <f t="shared" si="32"/>
        <v>46505.924999999996</v>
      </c>
      <c r="N49" s="329">
        <f t="shared" si="30"/>
        <v>184016.24999999997</v>
      </c>
      <c r="O49" s="330">
        <f t="shared" si="33"/>
        <v>2208194.9999999995</v>
      </c>
    </row>
    <row r="50" spans="1:15" ht="24" customHeight="1" x14ac:dyDescent="0.35">
      <c r="A50" s="333">
        <v>8</v>
      </c>
      <c r="B50" s="1175" t="s">
        <v>1457</v>
      </c>
      <c r="C50" s="1175"/>
      <c r="D50" s="1175"/>
      <c r="E50" s="1175"/>
      <c r="F50" s="334">
        <v>1</v>
      </c>
      <c r="G50" s="335">
        <v>2</v>
      </c>
      <c r="H50" s="332">
        <v>10502</v>
      </c>
      <c r="I50" s="332">
        <v>8372</v>
      </c>
      <c r="J50" s="297">
        <f t="shared" si="24"/>
        <v>1575.3</v>
      </c>
      <c r="K50" s="329">
        <f t="shared" ref="K50:K52" si="34">I50*0.7</f>
        <v>5860.4</v>
      </c>
      <c r="L50" s="297">
        <f t="shared" si="26"/>
        <v>7903.8499999999995</v>
      </c>
      <c r="M50" s="329">
        <f t="shared" ref="M50:M52" si="35">L50</f>
        <v>7903.8499999999995</v>
      </c>
      <c r="N50" s="329">
        <f t="shared" ref="N50:N52" si="36">I50+K50+L50+M50</f>
        <v>30040.1</v>
      </c>
      <c r="O50" s="330">
        <f t="shared" ref="O50:O52" si="37">N50*12</f>
        <v>360481.19999999995</v>
      </c>
    </row>
    <row r="51" spans="1:15" ht="24" customHeight="1" x14ac:dyDescent="0.35">
      <c r="A51" s="333">
        <v>9</v>
      </c>
      <c r="B51" s="1175" t="s">
        <v>1458</v>
      </c>
      <c r="C51" s="1175"/>
      <c r="D51" s="1175"/>
      <c r="E51" s="1175"/>
      <c r="F51" s="334">
        <v>2</v>
      </c>
      <c r="G51" s="335">
        <v>4</v>
      </c>
      <c r="H51" s="311">
        <v>13383</v>
      </c>
      <c r="I51" s="332">
        <v>8372</v>
      </c>
      <c r="J51" s="297">
        <f t="shared" ref="J51" si="38">H51*15%</f>
        <v>2007.4499999999998</v>
      </c>
      <c r="K51" s="329">
        <f t="shared" ref="K51" si="39">I51*0.7</f>
        <v>5860.4</v>
      </c>
      <c r="L51" s="297">
        <f t="shared" ref="L51" si="40">(I51+J51+K51)*0.5</f>
        <v>8119.9250000000002</v>
      </c>
      <c r="M51" s="329">
        <f t="shared" ref="M51" si="41">L51</f>
        <v>8119.9250000000002</v>
      </c>
      <c r="N51" s="329">
        <f t="shared" ref="N51" si="42">I51+K51+L51+M51</f>
        <v>30472.25</v>
      </c>
      <c r="O51" s="330">
        <f t="shared" ref="O51" si="43">N51*12</f>
        <v>365667</v>
      </c>
    </row>
    <row r="52" spans="1:15" ht="15" customHeight="1" x14ac:dyDescent="0.35">
      <c r="A52" s="333">
        <v>10</v>
      </c>
      <c r="B52" s="970" t="s">
        <v>1448</v>
      </c>
      <c r="C52" s="971"/>
      <c r="D52" s="971"/>
      <c r="E52" s="1007"/>
      <c r="F52" s="334">
        <v>4</v>
      </c>
      <c r="G52" s="335">
        <v>2</v>
      </c>
      <c r="H52" s="332">
        <v>10502</v>
      </c>
      <c r="I52" s="332">
        <v>7928</v>
      </c>
      <c r="J52" s="297">
        <f t="shared" si="24"/>
        <v>1575.3</v>
      </c>
      <c r="K52" s="329">
        <f t="shared" si="34"/>
        <v>5549.5999999999995</v>
      </c>
      <c r="L52" s="297">
        <f t="shared" si="26"/>
        <v>7526.4499999999989</v>
      </c>
      <c r="M52" s="329">
        <f t="shared" si="35"/>
        <v>7526.4499999999989</v>
      </c>
      <c r="N52" s="329">
        <f t="shared" si="36"/>
        <v>28530.499999999993</v>
      </c>
      <c r="O52" s="330">
        <f t="shared" si="37"/>
        <v>342365.99999999988</v>
      </c>
    </row>
    <row r="53" spans="1:15" ht="15" thickBot="1" x14ac:dyDescent="0.4">
      <c r="A53" s="336">
        <v>11</v>
      </c>
      <c r="B53" s="337" t="s">
        <v>19</v>
      </c>
      <c r="C53" s="338"/>
      <c r="D53" s="338"/>
      <c r="E53" s="339"/>
      <c r="F53" s="334">
        <v>2</v>
      </c>
      <c r="G53" s="334">
        <v>4</v>
      </c>
      <c r="H53" s="311">
        <v>13383</v>
      </c>
      <c r="I53" s="336">
        <f>F53*H53</f>
        <v>26766</v>
      </c>
      <c r="J53" s="297">
        <f t="shared" si="24"/>
        <v>2007.4499999999998</v>
      </c>
      <c r="K53" s="340">
        <f>I53*0.6</f>
        <v>16059.599999999999</v>
      </c>
      <c r="L53" s="297">
        <f t="shared" si="26"/>
        <v>22416.525000000001</v>
      </c>
      <c r="M53" s="340">
        <f t="shared" si="32"/>
        <v>22416.525000000001</v>
      </c>
      <c r="N53" s="340">
        <f>I53+K53+L53+M53</f>
        <v>87658.65</v>
      </c>
      <c r="O53" s="341">
        <f>N53*12</f>
        <v>1051903.7999999998</v>
      </c>
    </row>
    <row r="54" spans="1:15" ht="15" thickBot="1" x14ac:dyDescent="0.4">
      <c r="A54" s="1047" t="s">
        <v>84</v>
      </c>
      <c r="B54" s="1048"/>
      <c r="C54" s="1048"/>
      <c r="D54" s="1048"/>
      <c r="E54" s="1167"/>
      <c r="F54" s="342">
        <f>SUM(F42:F53)</f>
        <v>37</v>
      </c>
      <c r="G54" s="343"/>
      <c r="H54" s="793">
        <f>SUM(H42:H53)</f>
        <v>149258</v>
      </c>
      <c r="I54" s="344">
        <f t="shared" ref="I54:J54" si="44">SUM(I42:I53)</f>
        <v>413523</v>
      </c>
      <c r="J54" s="344">
        <f t="shared" si="44"/>
        <v>22388.699999999997</v>
      </c>
      <c r="K54" s="344">
        <f>SUM(K42:K53)</f>
        <v>286789.49999999994</v>
      </c>
      <c r="L54" s="344">
        <f>SUM(L42:L53)</f>
        <v>361350.6</v>
      </c>
      <c r="M54" s="344">
        <f>SUM(M42:M53)</f>
        <v>361350.6</v>
      </c>
      <c r="N54" s="344">
        <f>SUM(N42:N53)</f>
        <v>1423013.7</v>
      </c>
      <c r="O54" s="345">
        <f>SUM(O42:O53)</f>
        <v>17076164.399999999</v>
      </c>
    </row>
    <row r="55" spans="1:15" ht="11" customHeight="1" thickBot="1" x14ac:dyDescent="0.4">
      <c r="A55" s="788"/>
      <c r="B55" s="780"/>
      <c r="C55" s="782"/>
      <c r="D55" s="782"/>
      <c r="E55" s="782"/>
      <c r="F55" s="782"/>
      <c r="G55" s="783"/>
      <c r="H55" s="784"/>
      <c r="I55" s="784"/>
      <c r="J55" s="784"/>
      <c r="K55" s="785"/>
      <c r="L55" s="785"/>
      <c r="M55" s="781"/>
      <c r="N55" s="781"/>
      <c r="O55" s="789"/>
    </row>
    <row r="56" spans="1:15" ht="15" thickBot="1" x14ac:dyDescent="0.4">
      <c r="A56" s="1172" t="s">
        <v>1461</v>
      </c>
      <c r="B56" s="1173"/>
      <c r="C56" s="1173"/>
      <c r="D56" s="1173"/>
      <c r="E56" s="1173"/>
      <c r="F56" s="1173"/>
      <c r="G56" s="1173"/>
      <c r="H56" s="1173"/>
      <c r="I56" s="1173"/>
      <c r="J56" s="1173"/>
      <c r="K56" s="1173"/>
      <c r="L56" s="1173"/>
      <c r="M56" s="1173"/>
      <c r="N56" s="1173"/>
      <c r="O56" s="1174"/>
    </row>
    <row r="57" spans="1:15" ht="15" thickBot="1" x14ac:dyDescent="0.4">
      <c r="A57" s="1142" t="s">
        <v>0</v>
      </c>
      <c r="B57" s="1168" t="s">
        <v>1</v>
      </c>
      <c r="C57" s="1156"/>
      <c r="D57" s="1156"/>
      <c r="E57" s="1169"/>
      <c r="F57" s="1142" t="s">
        <v>75</v>
      </c>
      <c r="G57" s="1144" t="s">
        <v>76</v>
      </c>
      <c r="H57" s="1142" t="s">
        <v>77</v>
      </c>
      <c r="I57" s="1161" t="s">
        <v>78</v>
      </c>
      <c r="J57" s="1161"/>
      <c r="K57" s="1162"/>
      <c r="L57" s="1162"/>
      <c r="M57" s="1162"/>
      <c r="N57" s="1163"/>
      <c r="O57" s="1150" t="s">
        <v>79</v>
      </c>
    </row>
    <row r="58" spans="1:15" ht="16.5" customHeight="1" thickBot="1" x14ac:dyDescent="0.4">
      <c r="A58" s="1143"/>
      <c r="B58" s="1170"/>
      <c r="C58" s="1159"/>
      <c r="D58" s="1159"/>
      <c r="E58" s="1171"/>
      <c r="F58" s="1143"/>
      <c r="G58" s="1145"/>
      <c r="H58" s="1143"/>
      <c r="I58" s="346" t="s">
        <v>80</v>
      </c>
      <c r="J58" s="307" t="s">
        <v>1334</v>
      </c>
      <c r="K58" s="307" t="s">
        <v>81</v>
      </c>
      <c r="L58" s="307" t="s">
        <v>82</v>
      </c>
      <c r="M58" s="307" t="s">
        <v>83</v>
      </c>
      <c r="N58" s="324" t="s">
        <v>84</v>
      </c>
      <c r="O58" s="1151"/>
    </row>
    <row r="59" spans="1:15" ht="24.5" customHeight="1" thickBot="1" x14ac:dyDescent="0.4">
      <c r="A59" s="796">
        <v>1</v>
      </c>
      <c r="B59" s="1187" t="s">
        <v>1449</v>
      </c>
      <c r="C59" s="1188"/>
      <c r="D59" s="1188"/>
      <c r="E59" s="1188"/>
      <c r="F59" s="802">
        <v>4</v>
      </c>
      <c r="G59" s="797">
        <v>4</v>
      </c>
      <c r="H59" s="798">
        <v>13383</v>
      </c>
      <c r="I59" s="343">
        <f>H59*F59</f>
        <v>53532</v>
      </c>
      <c r="J59" s="799">
        <f t="shared" ref="J59" si="45">H59*15%</f>
        <v>2007.4499999999998</v>
      </c>
      <c r="K59" s="799">
        <f t="shared" ref="K59" si="46">I59*0.7</f>
        <v>37472.399999999994</v>
      </c>
      <c r="L59" s="799">
        <f t="shared" ref="L59" si="47">(I59+J59+K59)*0.5</f>
        <v>46505.924999999996</v>
      </c>
      <c r="M59" s="799">
        <f>L59</f>
        <v>46505.924999999996</v>
      </c>
      <c r="N59" s="799">
        <f>I59+K59+L59+M59</f>
        <v>184016.24999999997</v>
      </c>
      <c r="O59" s="800">
        <f>N59*12</f>
        <v>2208194.9999999995</v>
      </c>
    </row>
    <row r="60" spans="1:15" ht="15" thickBot="1" x14ac:dyDescent="0.4">
      <c r="A60" s="1189" t="s">
        <v>84</v>
      </c>
      <c r="B60" s="1190"/>
      <c r="C60" s="1190"/>
      <c r="D60" s="1190"/>
      <c r="E60" s="1191"/>
      <c r="F60" s="794">
        <v>4</v>
      </c>
      <c r="G60" s="795"/>
      <c r="H60" s="801">
        <f>SUM(H59)</f>
        <v>13383</v>
      </c>
      <c r="I60" s="801">
        <f t="shared" ref="I60:O60" si="48">SUM(I59)</f>
        <v>53532</v>
      </c>
      <c r="J60" s="801">
        <f t="shared" si="48"/>
        <v>2007.4499999999998</v>
      </c>
      <c r="K60" s="801">
        <f t="shared" si="48"/>
        <v>37472.399999999994</v>
      </c>
      <c r="L60" s="801">
        <f t="shared" si="48"/>
        <v>46505.924999999996</v>
      </c>
      <c r="M60" s="801">
        <f t="shared" si="48"/>
        <v>46505.924999999996</v>
      </c>
      <c r="N60" s="801">
        <f t="shared" si="48"/>
        <v>184016.24999999997</v>
      </c>
      <c r="O60" s="801">
        <f t="shared" si="48"/>
        <v>2208194.9999999995</v>
      </c>
    </row>
    <row r="61" spans="1:15" x14ac:dyDescent="0.35">
      <c r="A61" s="788"/>
      <c r="B61" s="780"/>
      <c r="C61" s="780"/>
      <c r="D61" s="780"/>
      <c r="E61" s="780"/>
      <c r="F61" s="780"/>
      <c r="G61" s="786"/>
      <c r="H61" s="787"/>
      <c r="I61" s="787"/>
      <c r="J61" s="787"/>
      <c r="K61" s="781"/>
      <c r="L61" s="781"/>
      <c r="M61" s="781"/>
      <c r="N61" s="781"/>
      <c r="O61" s="789"/>
    </row>
    <row r="62" spans="1:15" ht="15" thickBot="1" x14ac:dyDescent="0.4">
      <c r="A62" s="790"/>
      <c r="B62" s="791"/>
      <c r="C62" s="290" t="s">
        <v>20</v>
      </c>
      <c r="D62" s="290"/>
      <c r="E62" s="290"/>
      <c r="F62" s="290"/>
      <c r="G62" s="290"/>
      <c r="H62" s="290"/>
      <c r="I62" s="290"/>
      <c r="J62" s="290"/>
      <c r="K62" s="290"/>
      <c r="L62" s="290"/>
      <c r="M62" s="791"/>
      <c r="N62" s="791"/>
      <c r="O62" s="792"/>
    </row>
    <row r="63" spans="1:15" ht="15" thickBot="1" x14ac:dyDescent="0.4">
      <c r="A63" s="1142" t="s">
        <v>0</v>
      </c>
      <c r="B63" s="1168" t="s">
        <v>1</v>
      </c>
      <c r="C63" s="1156"/>
      <c r="D63" s="1156"/>
      <c r="E63" s="1169"/>
      <c r="F63" s="1142" t="s">
        <v>75</v>
      </c>
      <c r="G63" s="1144" t="s">
        <v>76</v>
      </c>
      <c r="H63" s="1142" t="s">
        <v>77</v>
      </c>
      <c r="I63" s="1161" t="s">
        <v>78</v>
      </c>
      <c r="J63" s="1161"/>
      <c r="K63" s="1162"/>
      <c r="L63" s="1162"/>
      <c r="M63" s="1162"/>
      <c r="N63" s="1163"/>
      <c r="O63" s="1150" t="s">
        <v>79</v>
      </c>
    </row>
    <row r="64" spans="1:15" ht="19.5" customHeight="1" thickBot="1" x14ac:dyDescent="0.4">
      <c r="A64" s="1143"/>
      <c r="B64" s="1170"/>
      <c r="C64" s="1159"/>
      <c r="D64" s="1159"/>
      <c r="E64" s="1171"/>
      <c r="F64" s="1143"/>
      <c r="G64" s="1145"/>
      <c r="H64" s="1143"/>
      <c r="I64" s="346" t="s">
        <v>80</v>
      </c>
      <c r="J64" s="307" t="s">
        <v>1334</v>
      </c>
      <c r="K64" s="307" t="s">
        <v>81</v>
      </c>
      <c r="L64" s="307" t="s">
        <v>82</v>
      </c>
      <c r="M64" s="307" t="s">
        <v>83</v>
      </c>
      <c r="N64" s="324" t="s">
        <v>84</v>
      </c>
      <c r="O64" s="1151"/>
    </row>
    <row r="65" spans="1:15" x14ac:dyDescent="0.35">
      <c r="A65" s="347">
        <v>1</v>
      </c>
      <c r="B65" s="999" t="s">
        <v>108</v>
      </c>
      <c r="C65" s="1000"/>
      <c r="D65" s="1000"/>
      <c r="E65" s="1000"/>
      <c r="F65" s="348">
        <v>1</v>
      </c>
      <c r="G65" s="256">
        <v>3</v>
      </c>
      <c r="H65" s="328">
        <v>11896</v>
      </c>
      <c r="I65" s="296">
        <f>H65*F65</f>
        <v>11896</v>
      </c>
      <c r="J65" s="297">
        <f t="shared" ref="J65:J78" si="49">H65*15%</f>
        <v>1784.3999999999999</v>
      </c>
      <c r="K65" s="349">
        <f t="shared" ref="K65:K76" si="50">I65*0.7</f>
        <v>8327.1999999999989</v>
      </c>
      <c r="L65" s="297">
        <f t="shared" ref="L65:L78" si="51">(I65+J65+K65)*0.5</f>
        <v>11003.8</v>
      </c>
      <c r="M65" s="297">
        <f>L65</f>
        <v>11003.8</v>
      </c>
      <c r="N65" s="297">
        <f>I65+K65+L65+M65</f>
        <v>42230.799999999996</v>
      </c>
      <c r="O65" s="298">
        <f>N65*12</f>
        <v>506769.6</v>
      </c>
    </row>
    <row r="66" spans="1:15" x14ac:dyDescent="0.35">
      <c r="A66" s="331">
        <v>2</v>
      </c>
      <c r="B66" s="970" t="s">
        <v>21</v>
      </c>
      <c r="C66" s="971"/>
      <c r="D66" s="971"/>
      <c r="E66" s="971"/>
      <c r="F66" s="32">
        <v>1</v>
      </c>
      <c r="G66" s="252">
        <v>3</v>
      </c>
      <c r="H66" s="328">
        <v>11896</v>
      </c>
      <c r="I66" s="296">
        <f>H66*F66</f>
        <v>11896</v>
      </c>
      <c r="J66" s="297">
        <f t="shared" si="49"/>
        <v>1784.3999999999999</v>
      </c>
      <c r="K66" s="313">
        <f t="shared" si="50"/>
        <v>8327.1999999999989</v>
      </c>
      <c r="L66" s="297">
        <f t="shared" si="51"/>
        <v>11003.8</v>
      </c>
      <c r="M66" s="313">
        <f t="shared" ref="M66:M78" si="52">L66</f>
        <v>11003.8</v>
      </c>
      <c r="N66" s="313">
        <f t="shared" ref="N66:N78" si="53">I66+K66+L66+M66</f>
        <v>42230.799999999996</v>
      </c>
      <c r="O66" s="350">
        <f t="shared" ref="O66:O78" si="54">N66*12</f>
        <v>506769.6</v>
      </c>
    </row>
    <row r="67" spans="1:15" x14ac:dyDescent="0.35">
      <c r="A67" s="331">
        <v>3</v>
      </c>
      <c r="B67" s="970" t="s">
        <v>1104</v>
      </c>
      <c r="C67" s="971"/>
      <c r="D67" s="971"/>
      <c r="E67" s="971"/>
      <c r="F67" s="32">
        <v>1</v>
      </c>
      <c r="G67" s="302">
        <v>5</v>
      </c>
      <c r="H67" s="332">
        <v>15149</v>
      </c>
      <c r="I67" s="296">
        <f>H67*F67</f>
        <v>15149</v>
      </c>
      <c r="J67" s="297">
        <f t="shared" si="49"/>
        <v>2272.35</v>
      </c>
      <c r="K67" s="313">
        <f t="shared" si="50"/>
        <v>10604.3</v>
      </c>
      <c r="L67" s="297">
        <f t="shared" si="51"/>
        <v>14012.824999999999</v>
      </c>
      <c r="M67" s="313">
        <f t="shared" si="52"/>
        <v>14012.824999999999</v>
      </c>
      <c r="N67" s="313">
        <f t="shared" si="53"/>
        <v>53778.95</v>
      </c>
      <c r="O67" s="350">
        <f t="shared" si="54"/>
        <v>645347.39999999991</v>
      </c>
    </row>
    <row r="68" spans="1:15" x14ac:dyDescent="0.35">
      <c r="A68" s="331">
        <v>4</v>
      </c>
      <c r="B68" s="970" t="s">
        <v>1105</v>
      </c>
      <c r="C68" s="971"/>
      <c r="D68" s="971"/>
      <c r="E68" s="971"/>
      <c r="F68" s="32">
        <v>1</v>
      </c>
      <c r="G68" s="302">
        <v>5</v>
      </c>
      <c r="H68" s="332">
        <v>15149</v>
      </c>
      <c r="I68" s="296">
        <f t="shared" ref="I68:I75" si="55">F68*H68</f>
        <v>15149</v>
      </c>
      <c r="J68" s="297">
        <f t="shared" si="49"/>
        <v>2272.35</v>
      </c>
      <c r="K68" s="313">
        <f t="shared" si="50"/>
        <v>10604.3</v>
      </c>
      <c r="L68" s="297">
        <f t="shared" si="51"/>
        <v>14012.824999999999</v>
      </c>
      <c r="M68" s="313">
        <f t="shared" si="52"/>
        <v>14012.824999999999</v>
      </c>
      <c r="N68" s="313">
        <f t="shared" si="53"/>
        <v>53778.95</v>
      </c>
      <c r="O68" s="350">
        <f t="shared" si="54"/>
        <v>645347.39999999991</v>
      </c>
    </row>
    <row r="69" spans="1:15" x14ac:dyDescent="0.35">
      <c r="A69" s="331">
        <v>5</v>
      </c>
      <c r="B69" s="970" t="s">
        <v>22</v>
      </c>
      <c r="C69" s="971"/>
      <c r="D69" s="971"/>
      <c r="E69" s="971"/>
      <c r="F69" s="32">
        <v>1</v>
      </c>
      <c r="G69" s="302">
        <v>4</v>
      </c>
      <c r="H69" s="311">
        <v>13383</v>
      </c>
      <c r="I69" s="296">
        <f t="shared" si="55"/>
        <v>13383</v>
      </c>
      <c r="J69" s="297">
        <f t="shared" si="49"/>
        <v>2007.4499999999998</v>
      </c>
      <c r="K69" s="351">
        <f t="shared" si="50"/>
        <v>9368.0999999999985</v>
      </c>
      <c r="L69" s="297">
        <f t="shared" si="51"/>
        <v>12379.275</v>
      </c>
      <c r="M69" s="351">
        <f t="shared" si="52"/>
        <v>12379.275</v>
      </c>
      <c r="N69" s="351">
        <f t="shared" si="53"/>
        <v>47509.65</v>
      </c>
      <c r="O69" s="352">
        <f t="shared" si="54"/>
        <v>570115.80000000005</v>
      </c>
    </row>
    <row r="70" spans="1:15" x14ac:dyDescent="0.35">
      <c r="A70" s="331">
        <v>6</v>
      </c>
      <c r="B70" s="970" t="s">
        <v>889</v>
      </c>
      <c r="C70" s="971"/>
      <c r="D70" s="971"/>
      <c r="E70" s="971"/>
      <c r="F70" s="32">
        <v>1</v>
      </c>
      <c r="G70" s="317">
        <v>4</v>
      </c>
      <c r="H70" s="311">
        <v>13383</v>
      </c>
      <c r="I70" s="296">
        <f t="shared" ref="I70:I72" si="56">F70*H70</f>
        <v>13383</v>
      </c>
      <c r="J70" s="297">
        <f t="shared" si="49"/>
        <v>2007.4499999999998</v>
      </c>
      <c r="K70" s="351">
        <f t="shared" ref="K70:K72" si="57">I70*0.7</f>
        <v>9368.0999999999985</v>
      </c>
      <c r="L70" s="297">
        <f t="shared" si="51"/>
        <v>12379.275</v>
      </c>
      <c r="M70" s="351">
        <f t="shared" ref="M70:M72" si="58">L70</f>
        <v>12379.275</v>
      </c>
      <c r="N70" s="351">
        <f t="shared" ref="N70:N72" si="59">I70+K70+L70+M70</f>
        <v>47509.65</v>
      </c>
      <c r="O70" s="352">
        <f t="shared" ref="O70:O72" si="60">N70*12</f>
        <v>570115.80000000005</v>
      </c>
    </row>
    <row r="71" spans="1:15" x14ac:dyDescent="0.35">
      <c r="A71" s="331">
        <v>7</v>
      </c>
      <c r="B71" s="253" t="s">
        <v>1339</v>
      </c>
      <c r="C71" s="254"/>
      <c r="D71" s="254"/>
      <c r="E71" s="254"/>
      <c r="F71" s="32">
        <v>1</v>
      </c>
      <c r="G71" s="317">
        <v>4</v>
      </c>
      <c r="H71" s="332">
        <v>13383</v>
      </c>
      <c r="I71" s="296">
        <f t="shared" si="56"/>
        <v>13383</v>
      </c>
      <c r="J71" s="297">
        <f t="shared" si="49"/>
        <v>2007.4499999999998</v>
      </c>
      <c r="K71" s="351">
        <f t="shared" si="57"/>
        <v>9368.0999999999985</v>
      </c>
      <c r="L71" s="297">
        <f t="shared" si="51"/>
        <v>12379.275</v>
      </c>
      <c r="M71" s="351">
        <f t="shared" si="58"/>
        <v>12379.275</v>
      </c>
      <c r="N71" s="351">
        <f t="shared" si="59"/>
        <v>47509.65</v>
      </c>
      <c r="O71" s="352">
        <f t="shared" si="60"/>
        <v>570115.80000000005</v>
      </c>
    </row>
    <row r="72" spans="1:15" x14ac:dyDescent="0.35">
      <c r="A72" s="331">
        <v>8</v>
      </c>
      <c r="B72" s="253" t="s">
        <v>890</v>
      </c>
      <c r="C72" s="254"/>
      <c r="D72" s="254"/>
      <c r="E72" s="254"/>
      <c r="F72" s="32">
        <v>1</v>
      </c>
      <c r="G72" s="317">
        <v>4</v>
      </c>
      <c r="H72" s="311">
        <v>13383</v>
      </c>
      <c r="I72" s="296">
        <f t="shared" si="56"/>
        <v>13383</v>
      </c>
      <c r="J72" s="297">
        <f t="shared" si="49"/>
        <v>2007.4499999999998</v>
      </c>
      <c r="K72" s="351">
        <f t="shared" si="57"/>
        <v>9368.0999999999985</v>
      </c>
      <c r="L72" s="297">
        <f t="shared" si="51"/>
        <v>12379.275</v>
      </c>
      <c r="M72" s="351">
        <f t="shared" si="58"/>
        <v>12379.275</v>
      </c>
      <c r="N72" s="351">
        <f t="shared" si="59"/>
        <v>47509.65</v>
      </c>
      <c r="O72" s="352">
        <f t="shared" si="60"/>
        <v>570115.80000000005</v>
      </c>
    </row>
    <row r="73" spans="1:15" x14ac:dyDescent="0.35">
      <c r="A73" s="331">
        <v>9</v>
      </c>
      <c r="B73" s="970" t="s">
        <v>1106</v>
      </c>
      <c r="C73" s="971"/>
      <c r="D73" s="971"/>
      <c r="E73" s="971"/>
      <c r="F73" s="32">
        <v>1</v>
      </c>
      <c r="G73" s="252">
        <v>5</v>
      </c>
      <c r="H73" s="332">
        <v>15149</v>
      </c>
      <c r="I73" s="296">
        <f t="shared" si="55"/>
        <v>15149</v>
      </c>
      <c r="J73" s="297">
        <f t="shared" si="49"/>
        <v>2272.35</v>
      </c>
      <c r="K73" s="313">
        <f t="shared" si="50"/>
        <v>10604.3</v>
      </c>
      <c r="L73" s="297">
        <f t="shared" si="51"/>
        <v>14012.824999999999</v>
      </c>
      <c r="M73" s="313">
        <f t="shared" si="52"/>
        <v>14012.824999999999</v>
      </c>
      <c r="N73" s="313">
        <f t="shared" si="53"/>
        <v>53778.95</v>
      </c>
      <c r="O73" s="350">
        <f t="shared" si="54"/>
        <v>645347.39999999991</v>
      </c>
    </row>
    <row r="74" spans="1:15" x14ac:dyDescent="0.35">
      <c r="A74" s="331">
        <v>10</v>
      </c>
      <c r="B74" s="970" t="s">
        <v>23</v>
      </c>
      <c r="C74" s="971"/>
      <c r="D74" s="971"/>
      <c r="E74" s="971"/>
      <c r="F74" s="32">
        <v>1</v>
      </c>
      <c r="G74" s="302">
        <v>4</v>
      </c>
      <c r="H74" s="311">
        <v>13383</v>
      </c>
      <c r="I74" s="296">
        <f t="shared" si="55"/>
        <v>13383</v>
      </c>
      <c r="J74" s="297">
        <f t="shared" si="49"/>
        <v>2007.4499999999998</v>
      </c>
      <c r="K74" s="313">
        <f t="shared" si="50"/>
        <v>9368.0999999999985</v>
      </c>
      <c r="L74" s="297">
        <f t="shared" si="51"/>
        <v>12379.275</v>
      </c>
      <c r="M74" s="313">
        <f t="shared" si="52"/>
        <v>12379.275</v>
      </c>
      <c r="N74" s="313">
        <f t="shared" si="53"/>
        <v>47509.65</v>
      </c>
      <c r="O74" s="350">
        <f t="shared" si="54"/>
        <v>570115.80000000005</v>
      </c>
    </row>
    <row r="75" spans="1:15" x14ac:dyDescent="0.35">
      <c r="A75" s="331">
        <v>11</v>
      </c>
      <c r="B75" s="970" t="s">
        <v>24</v>
      </c>
      <c r="C75" s="971"/>
      <c r="D75" s="971"/>
      <c r="E75" s="971"/>
      <c r="F75" s="32">
        <v>1</v>
      </c>
      <c r="G75" s="302">
        <v>5</v>
      </c>
      <c r="H75" s="332">
        <v>15149</v>
      </c>
      <c r="I75" s="296">
        <f t="shared" si="55"/>
        <v>15149</v>
      </c>
      <c r="J75" s="297">
        <f t="shared" si="49"/>
        <v>2272.35</v>
      </c>
      <c r="K75" s="351">
        <f t="shared" si="50"/>
        <v>10604.3</v>
      </c>
      <c r="L75" s="297">
        <f t="shared" si="51"/>
        <v>14012.824999999999</v>
      </c>
      <c r="M75" s="351">
        <f t="shared" si="52"/>
        <v>14012.824999999999</v>
      </c>
      <c r="N75" s="351">
        <f t="shared" si="53"/>
        <v>53778.95</v>
      </c>
      <c r="O75" s="352">
        <f t="shared" si="54"/>
        <v>645347.39999999991</v>
      </c>
    </row>
    <row r="76" spans="1:15" x14ac:dyDescent="0.35">
      <c r="A76" s="331">
        <v>12</v>
      </c>
      <c r="B76" s="970" t="s">
        <v>1455</v>
      </c>
      <c r="C76" s="971"/>
      <c r="D76" s="971"/>
      <c r="E76" s="971"/>
      <c r="F76" s="32">
        <v>3</v>
      </c>
      <c r="G76" s="302">
        <v>4</v>
      </c>
      <c r="H76" s="311">
        <v>13383</v>
      </c>
      <c r="I76" s="296">
        <f>F76*H76</f>
        <v>40149</v>
      </c>
      <c r="J76" s="297">
        <f t="shared" si="49"/>
        <v>2007.4499999999998</v>
      </c>
      <c r="K76" s="313">
        <f t="shared" si="50"/>
        <v>28104.3</v>
      </c>
      <c r="L76" s="297">
        <f t="shared" si="51"/>
        <v>35130.375</v>
      </c>
      <c r="M76" s="313">
        <f t="shared" si="52"/>
        <v>35130.375</v>
      </c>
      <c r="N76" s="313">
        <f t="shared" si="53"/>
        <v>138514.04999999999</v>
      </c>
      <c r="O76" s="350">
        <f t="shared" si="54"/>
        <v>1662168.5999999999</v>
      </c>
    </row>
    <row r="77" spans="1:15" x14ac:dyDescent="0.35">
      <c r="A77" s="331">
        <v>13</v>
      </c>
      <c r="B77" s="970" t="s">
        <v>1456</v>
      </c>
      <c r="C77" s="971"/>
      <c r="D77" s="971"/>
      <c r="E77" s="971"/>
      <c r="F77" s="32">
        <v>3</v>
      </c>
      <c r="G77" s="32">
        <v>4</v>
      </c>
      <c r="H77" s="311">
        <v>13383</v>
      </c>
      <c r="I77" s="39">
        <f>F77*H77</f>
        <v>40149</v>
      </c>
      <c r="J77" s="297">
        <f t="shared" ref="J77" si="61">H77*15%</f>
        <v>2007.4499999999998</v>
      </c>
      <c r="K77" s="39">
        <f>I77*0.75</f>
        <v>30111.75</v>
      </c>
      <c r="L77" s="297">
        <f t="shared" ref="L77" si="62">(I77+J77+K77)*0.5</f>
        <v>36134.1</v>
      </c>
      <c r="M77" s="313">
        <f t="shared" ref="M77" si="63">L77</f>
        <v>36134.1</v>
      </c>
      <c r="N77" s="313">
        <f t="shared" ref="N77" si="64">I77+K77+L77+M77</f>
        <v>142528.95000000001</v>
      </c>
      <c r="O77" s="313">
        <f t="shared" ref="O77" si="65">N77*12</f>
        <v>1710347.4000000001</v>
      </c>
    </row>
    <row r="78" spans="1:15" ht="15" thickBot="1" x14ac:dyDescent="0.4">
      <c r="A78" s="331">
        <v>14</v>
      </c>
      <c r="B78" s="970" t="s">
        <v>17</v>
      </c>
      <c r="C78" s="971"/>
      <c r="D78" s="971"/>
      <c r="E78" s="971"/>
      <c r="F78" s="32">
        <v>1</v>
      </c>
      <c r="G78" s="32">
        <v>9</v>
      </c>
      <c r="H78" s="311">
        <v>24722</v>
      </c>
      <c r="I78" s="39">
        <f>F78*H78</f>
        <v>24722</v>
      </c>
      <c r="J78" s="297">
        <f t="shared" si="49"/>
        <v>3708.2999999999997</v>
      </c>
      <c r="K78" s="39">
        <f>I78*0.75</f>
        <v>18541.5</v>
      </c>
      <c r="L78" s="297">
        <f t="shared" si="51"/>
        <v>23485.9</v>
      </c>
      <c r="M78" s="313">
        <f t="shared" si="52"/>
        <v>23485.9</v>
      </c>
      <c r="N78" s="313">
        <f t="shared" si="53"/>
        <v>90235.299999999988</v>
      </c>
      <c r="O78" s="313">
        <f t="shared" si="54"/>
        <v>1082823.5999999999</v>
      </c>
    </row>
    <row r="79" spans="1:15" ht="15" thickBot="1" x14ac:dyDescent="0.4">
      <c r="A79" s="1047" t="s">
        <v>84</v>
      </c>
      <c r="B79" s="1048"/>
      <c r="C79" s="1048"/>
      <c r="D79" s="1048"/>
      <c r="E79" s="1049"/>
      <c r="F79" s="303">
        <f>SUM(F65:F78)</f>
        <v>18</v>
      </c>
      <c r="G79" s="353"/>
      <c r="H79" s="305">
        <f t="shared" ref="H79:J79" si="66">SUM(H65:H78)</f>
        <v>202791</v>
      </c>
      <c r="I79" s="305">
        <f t="shared" si="66"/>
        <v>256323</v>
      </c>
      <c r="J79" s="305">
        <f t="shared" si="66"/>
        <v>30418.65</v>
      </c>
      <c r="K79" s="305">
        <f>SUM(K65:K78)</f>
        <v>182669.65</v>
      </c>
      <c r="L79" s="305">
        <f>SUM(L65:L78)</f>
        <v>234705.64999999997</v>
      </c>
      <c r="M79" s="305">
        <f>SUM(M65:M78)</f>
        <v>234705.64999999997</v>
      </c>
      <c r="N79" s="305">
        <f>SUM(N65:N78)</f>
        <v>908403.95</v>
      </c>
      <c r="O79" s="322">
        <f>SUM(O65:O78)</f>
        <v>10900847.399999999</v>
      </c>
    </row>
    <row r="80" spans="1:15" ht="15" thickBot="1" x14ac:dyDescent="0.4">
      <c r="A80" s="289"/>
      <c r="B80" s="289"/>
      <c r="C80" s="306" t="s">
        <v>25</v>
      </c>
      <c r="D80" s="306"/>
      <c r="E80" s="306"/>
      <c r="F80" s="306"/>
      <c r="G80" s="306"/>
      <c r="H80" s="306"/>
      <c r="I80" s="306"/>
      <c r="J80" s="306"/>
      <c r="K80" s="306"/>
      <c r="L80" s="306"/>
      <c r="M80" s="289"/>
      <c r="N80" s="289"/>
      <c r="O80" s="289"/>
    </row>
    <row r="81" spans="1:15" ht="15" thickBot="1" x14ac:dyDescent="0.4">
      <c r="A81" s="1153" t="s">
        <v>0</v>
      </c>
      <c r="B81" s="1155" t="s">
        <v>1</v>
      </c>
      <c r="C81" s="1156"/>
      <c r="D81" s="1156"/>
      <c r="E81" s="1157"/>
      <c r="F81" s="1144" t="s">
        <v>75</v>
      </c>
      <c r="G81" s="1142" t="s">
        <v>76</v>
      </c>
      <c r="H81" s="1144" t="s">
        <v>77</v>
      </c>
      <c r="I81" s="1146" t="s">
        <v>78</v>
      </c>
      <c r="J81" s="1147"/>
      <c r="K81" s="1148"/>
      <c r="L81" s="1148"/>
      <c r="M81" s="1148"/>
      <c r="N81" s="1149"/>
      <c r="O81" s="1150" t="s">
        <v>79</v>
      </c>
    </row>
    <row r="82" spans="1:15" ht="20.25" customHeight="1" thickBot="1" x14ac:dyDescent="0.4">
      <c r="A82" s="1154"/>
      <c r="B82" s="1158"/>
      <c r="C82" s="1159"/>
      <c r="D82" s="1159"/>
      <c r="E82" s="1160"/>
      <c r="F82" s="1145"/>
      <c r="G82" s="1143"/>
      <c r="H82" s="1145"/>
      <c r="I82" s="307" t="s">
        <v>80</v>
      </c>
      <c r="J82" s="307" t="s">
        <v>1334</v>
      </c>
      <c r="K82" s="354" t="s">
        <v>81</v>
      </c>
      <c r="L82" s="292" t="s">
        <v>82</v>
      </c>
      <c r="M82" s="291" t="s">
        <v>83</v>
      </c>
      <c r="N82" s="292" t="s">
        <v>84</v>
      </c>
      <c r="O82" s="1151"/>
    </row>
    <row r="83" spans="1:15" x14ac:dyDescent="0.35">
      <c r="A83" s="308">
        <v>1</v>
      </c>
      <c r="B83" s="1152" t="s">
        <v>33</v>
      </c>
      <c r="C83" s="1152"/>
      <c r="D83" s="1152"/>
      <c r="E83" s="1152"/>
      <c r="F83" s="355">
        <v>1</v>
      </c>
      <c r="G83" s="316">
        <v>1</v>
      </c>
      <c r="H83" s="316">
        <v>9294</v>
      </c>
      <c r="I83" s="296">
        <f>F83*H83</f>
        <v>9294</v>
      </c>
      <c r="J83" s="297">
        <f t="shared" ref="J83:J86" si="67">H83*15%</f>
        <v>1394.1</v>
      </c>
      <c r="K83" s="297">
        <f>I83*0.4</f>
        <v>3717.6000000000004</v>
      </c>
      <c r="L83" s="297">
        <f t="shared" ref="L83:L86" si="68">(I83+J83+K83)*0.5</f>
        <v>7202.85</v>
      </c>
      <c r="M83" s="297">
        <f>L83</f>
        <v>7202.85</v>
      </c>
      <c r="N83" s="297">
        <f>I83+K83+L83+M83</f>
        <v>27417.300000000003</v>
      </c>
      <c r="O83" s="298">
        <f>N83*12</f>
        <v>329007.60000000003</v>
      </c>
    </row>
    <row r="84" spans="1:15" x14ac:dyDescent="0.35">
      <c r="A84" s="356">
        <v>2</v>
      </c>
      <c r="B84" s="983" t="s">
        <v>27</v>
      </c>
      <c r="C84" s="984"/>
      <c r="D84" s="984"/>
      <c r="E84" s="984"/>
      <c r="F84" s="33">
        <v>2</v>
      </c>
      <c r="G84" s="252">
        <v>1</v>
      </c>
      <c r="H84" s="316">
        <v>9294</v>
      </c>
      <c r="I84" s="296">
        <f>F84*H84</f>
        <v>18588</v>
      </c>
      <c r="J84" s="297">
        <f t="shared" si="67"/>
        <v>1394.1</v>
      </c>
      <c r="K84" s="297">
        <f>I84*0.4</f>
        <v>7435.2000000000007</v>
      </c>
      <c r="L84" s="297">
        <f t="shared" si="68"/>
        <v>13708.65</v>
      </c>
      <c r="M84" s="297">
        <f>L84</f>
        <v>13708.65</v>
      </c>
      <c r="N84" s="297">
        <f>I84+K84+L84+M84</f>
        <v>53440.5</v>
      </c>
      <c r="O84" s="298">
        <f>N84*12</f>
        <v>641286</v>
      </c>
    </row>
    <row r="85" spans="1:15" x14ac:dyDescent="0.35">
      <c r="A85" s="331">
        <v>3</v>
      </c>
      <c r="B85" s="970" t="s">
        <v>29</v>
      </c>
      <c r="C85" s="971"/>
      <c r="D85" s="971"/>
      <c r="E85" s="971"/>
      <c r="F85" s="32">
        <v>1</v>
      </c>
      <c r="G85" s="252">
        <v>2</v>
      </c>
      <c r="H85" s="252">
        <v>10502</v>
      </c>
      <c r="I85" s="296">
        <f>F85*H85</f>
        <v>10502</v>
      </c>
      <c r="J85" s="297">
        <f t="shared" si="67"/>
        <v>1575.3</v>
      </c>
      <c r="K85" s="313">
        <f>I85*0.6</f>
        <v>6301.2</v>
      </c>
      <c r="L85" s="297">
        <f t="shared" si="68"/>
        <v>9189.25</v>
      </c>
      <c r="M85" s="313">
        <f>L85</f>
        <v>9189.25</v>
      </c>
      <c r="N85" s="313">
        <f>I85+K85+L85+M85</f>
        <v>35181.699999999997</v>
      </c>
      <c r="O85" s="350">
        <f>N85*12</f>
        <v>422180.39999999997</v>
      </c>
    </row>
    <row r="86" spans="1:15" ht="15" thickBot="1" x14ac:dyDescent="0.4">
      <c r="A86" s="357">
        <v>4</v>
      </c>
      <c r="B86" s="963" t="s">
        <v>31</v>
      </c>
      <c r="C86" s="964"/>
      <c r="D86" s="964"/>
      <c r="E86" s="964"/>
      <c r="F86" s="334">
        <v>4</v>
      </c>
      <c r="G86" s="40">
        <v>1</v>
      </c>
      <c r="H86" s="316">
        <v>9294</v>
      </c>
      <c r="I86" s="320">
        <f>F86*H86</f>
        <v>37176</v>
      </c>
      <c r="J86" s="297">
        <f t="shared" si="67"/>
        <v>1394.1</v>
      </c>
      <c r="K86" s="351">
        <f>I86*0.4</f>
        <v>14870.400000000001</v>
      </c>
      <c r="L86" s="297">
        <f t="shared" si="68"/>
        <v>26720.25</v>
      </c>
      <c r="M86" s="351">
        <f>L86</f>
        <v>26720.25</v>
      </c>
      <c r="N86" s="351">
        <f>I86+K86+L86+M86</f>
        <v>105486.9</v>
      </c>
      <c r="O86" s="352">
        <f>N86*12</f>
        <v>1265842.7999999998</v>
      </c>
    </row>
    <row r="87" spans="1:15" ht="15" thickBot="1" x14ac:dyDescent="0.4">
      <c r="A87" s="1047" t="s">
        <v>84</v>
      </c>
      <c r="B87" s="1048"/>
      <c r="C87" s="1048"/>
      <c r="D87" s="1048"/>
      <c r="E87" s="1049"/>
      <c r="F87" s="303">
        <f>SUM(F83:F86)</f>
        <v>8</v>
      </c>
      <c r="G87" s="304"/>
      <c r="H87" s="305">
        <f t="shared" ref="H87:J87" si="69">SUM(H83:H86)</f>
        <v>38384</v>
      </c>
      <c r="I87" s="305">
        <f t="shared" si="69"/>
        <v>75560</v>
      </c>
      <c r="J87" s="305">
        <f t="shared" si="69"/>
        <v>5757.6</v>
      </c>
      <c r="K87" s="305">
        <f>SUM(K83:K86)</f>
        <v>32324.400000000001</v>
      </c>
      <c r="L87" s="305">
        <f>SUM(L83:L86)</f>
        <v>56821</v>
      </c>
      <c r="M87" s="305">
        <f>SUM(M83:M86)</f>
        <v>56821</v>
      </c>
      <c r="N87" s="305">
        <f>SUM(N83:N86)</f>
        <v>221526.39999999999</v>
      </c>
      <c r="O87" s="322">
        <f>SUM(O83:O86)</f>
        <v>2658316.7999999998</v>
      </c>
    </row>
    <row r="88" spans="1:15" x14ac:dyDescent="0.35">
      <c r="A88" s="566" t="s">
        <v>87</v>
      </c>
      <c r="B88" s="566"/>
      <c r="C88" s="566"/>
      <c r="D88" s="566"/>
      <c r="E88" s="289"/>
      <c r="F88" s="568">
        <f>F26+F38+F54+F79+F87+F60</f>
        <v>96</v>
      </c>
      <c r="G88" s="567"/>
      <c r="H88" s="567"/>
      <c r="I88" s="567"/>
      <c r="J88" s="567"/>
      <c r="K88" s="567"/>
      <c r="L88" s="567"/>
      <c r="M88" s="567"/>
      <c r="N88" s="567"/>
      <c r="O88" s="568">
        <f>O26+O38+O54+O79+O87+O60</f>
        <v>61369247.399999991</v>
      </c>
    </row>
    <row r="89" spans="1:15" x14ac:dyDescent="0.3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1:15" x14ac:dyDescent="0.35">
      <c r="A90" s="41" t="s">
        <v>885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6" spans="1:15" x14ac:dyDescent="0.35">
      <c r="A96" s="284"/>
      <c r="B96" s="284"/>
      <c r="C96" s="285"/>
      <c r="D96" s="285"/>
      <c r="E96" s="285"/>
      <c r="F96" s="285"/>
      <c r="G96" s="184"/>
      <c r="H96" s="184"/>
      <c r="I96" s="184"/>
      <c r="J96" s="184"/>
      <c r="K96" s="184"/>
      <c r="L96" s="43" t="s">
        <v>88</v>
      </c>
      <c r="M96" s="44"/>
      <c r="N96" s="44"/>
      <c r="O96" s="285"/>
    </row>
    <row r="97" spans="1:15" x14ac:dyDescent="0.35">
      <c r="A97" s="285"/>
      <c r="B97" s="285"/>
      <c r="C97" s="285"/>
      <c r="D97" s="285"/>
      <c r="E97" s="285"/>
      <c r="F97" s="285"/>
      <c r="G97" s="184"/>
      <c r="H97" s="184"/>
      <c r="I97" s="184"/>
      <c r="J97" s="184"/>
      <c r="K97" s="184"/>
      <c r="L97" s="44" t="s">
        <v>89</v>
      </c>
      <c r="M97" s="44"/>
      <c r="N97" s="44"/>
      <c r="O97" s="285"/>
    </row>
    <row r="98" spans="1:15" x14ac:dyDescent="0.35">
      <c r="A98" s="44"/>
      <c r="B98" s="44"/>
      <c r="C98" s="44"/>
      <c r="D98" s="44"/>
      <c r="E98" s="44"/>
      <c r="F98" s="44"/>
      <c r="G98" s="286"/>
      <c r="H98" s="286"/>
      <c r="I98" s="286"/>
      <c r="J98" s="286"/>
      <c r="K98" s="286"/>
      <c r="L98" s="44" t="s">
        <v>90</v>
      </c>
      <c r="M98" s="44"/>
      <c r="N98" s="44"/>
      <c r="O98" s="285"/>
    </row>
    <row r="99" spans="1:15" x14ac:dyDescent="0.35">
      <c r="A99" s="44"/>
      <c r="B99" s="44"/>
      <c r="C99" s="44"/>
      <c r="D99" s="44"/>
      <c r="E99" s="44"/>
      <c r="F99" s="44"/>
      <c r="G99" s="286"/>
      <c r="H99" s="286"/>
      <c r="I99" s="286"/>
      <c r="J99" s="286"/>
      <c r="K99" s="286"/>
      <c r="L99" s="44" t="s">
        <v>964</v>
      </c>
      <c r="M99" s="44"/>
      <c r="N99" s="44"/>
      <c r="O99" s="285"/>
    </row>
    <row r="100" spans="1:15" x14ac:dyDescent="0.35">
      <c r="A100" s="1186" t="s">
        <v>1466</v>
      </c>
      <c r="B100" s="1186"/>
      <c r="C100" s="1186"/>
      <c r="D100" s="1186"/>
      <c r="E100" s="1186"/>
      <c r="F100" s="1186"/>
      <c r="G100" s="1186"/>
      <c r="H100" s="1186"/>
      <c r="I100" s="1186"/>
      <c r="J100" s="1186"/>
      <c r="K100" s="1186"/>
      <c r="L100" s="1186"/>
      <c r="M100" s="1186"/>
      <c r="N100" s="1186"/>
      <c r="O100" s="1186"/>
    </row>
    <row r="101" spans="1:15" x14ac:dyDescent="0.35">
      <c r="A101" s="287"/>
      <c r="B101" s="287" t="s">
        <v>1344</v>
      </c>
      <c r="C101" s="287"/>
      <c r="D101" s="287"/>
      <c r="E101" s="287"/>
      <c r="F101" s="288"/>
      <c r="G101" s="288"/>
      <c r="H101" s="288"/>
      <c r="I101" s="288"/>
      <c r="J101" s="288"/>
      <c r="K101" s="288"/>
      <c r="L101" s="288"/>
      <c r="M101" s="288"/>
      <c r="N101" s="288"/>
      <c r="O101" s="286"/>
    </row>
    <row r="102" spans="1:15" ht="15" thickBot="1" x14ac:dyDescent="0.4">
      <c r="A102" s="289"/>
      <c r="B102" s="289"/>
      <c r="C102" s="290" t="s">
        <v>6</v>
      </c>
      <c r="D102" s="290"/>
      <c r="E102" s="290"/>
      <c r="F102" s="290"/>
      <c r="G102" s="290"/>
      <c r="H102" s="290"/>
      <c r="I102" s="290"/>
      <c r="J102" s="290"/>
      <c r="K102" s="290"/>
      <c r="L102" s="290"/>
      <c r="M102" s="289"/>
      <c r="N102" s="289"/>
      <c r="O102" s="289"/>
    </row>
    <row r="103" spans="1:15" ht="15" thickBot="1" x14ac:dyDescent="0.4">
      <c r="A103" s="1153" t="s">
        <v>0</v>
      </c>
      <c r="B103" s="1155" t="s">
        <v>1</v>
      </c>
      <c r="C103" s="1156"/>
      <c r="D103" s="1156"/>
      <c r="E103" s="1157"/>
      <c r="F103" s="1144" t="s">
        <v>75</v>
      </c>
      <c r="G103" s="1142" t="s">
        <v>76</v>
      </c>
      <c r="H103" s="1144" t="s">
        <v>77</v>
      </c>
      <c r="I103" s="1146" t="s">
        <v>78</v>
      </c>
      <c r="J103" s="1161"/>
      <c r="K103" s="1148"/>
      <c r="L103" s="1148"/>
      <c r="M103" s="1148"/>
      <c r="N103" s="1149"/>
      <c r="O103" s="1150" t="s">
        <v>79</v>
      </c>
    </row>
    <row r="104" spans="1:15" ht="20.5" thickBot="1" x14ac:dyDescent="0.4">
      <c r="A104" s="1154"/>
      <c r="B104" s="1158"/>
      <c r="C104" s="1159"/>
      <c r="D104" s="1159"/>
      <c r="E104" s="1160"/>
      <c r="F104" s="1145"/>
      <c r="G104" s="1143"/>
      <c r="H104" s="1145"/>
      <c r="I104" s="725" t="s">
        <v>80</v>
      </c>
      <c r="J104" s="307" t="s">
        <v>1464</v>
      </c>
      <c r="K104" s="292" t="s">
        <v>81</v>
      </c>
      <c r="L104" s="771" t="s">
        <v>82</v>
      </c>
      <c r="M104" s="292" t="s">
        <v>83</v>
      </c>
      <c r="N104" s="771" t="s">
        <v>84</v>
      </c>
      <c r="O104" s="1151"/>
    </row>
    <row r="105" spans="1:15" x14ac:dyDescent="0.35">
      <c r="A105" s="293" t="s">
        <v>26</v>
      </c>
      <c r="B105" s="1027" t="s">
        <v>38</v>
      </c>
      <c r="C105" s="1028"/>
      <c r="D105" s="1028"/>
      <c r="E105" s="1028"/>
      <c r="F105" s="294">
        <v>1</v>
      </c>
      <c r="G105" s="773">
        <v>16</v>
      </c>
      <c r="H105" s="296">
        <v>50838</v>
      </c>
      <c r="I105" s="296">
        <f>H105</f>
        <v>50838</v>
      </c>
      <c r="J105" s="297">
        <f>H105*20%</f>
        <v>10167.6</v>
      </c>
      <c r="K105" s="297">
        <f>I105*0.7</f>
        <v>35586.6</v>
      </c>
      <c r="L105" s="297">
        <f>(I105+J105+K105)*0.5</f>
        <v>48296.1</v>
      </c>
      <c r="M105" s="297">
        <f t="shared" ref="M105:M120" si="70">L105</f>
        <v>48296.1</v>
      </c>
      <c r="N105" s="297">
        <f t="shared" ref="N105:N120" si="71">I105+K105+L105+M105</f>
        <v>183016.80000000002</v>
      </c>
      <c r="O105" s="298">
        <f>N105*12</f>
        <v>2196201.6</v>
      </c>
    </row>
    <row r="106" spans="1:15" x14ac:dyDescent="0.35">
      <c r="A106" s="299">
        <v>2</v>
      </c>
      <c r="B106" s="1027" t="s">
        <v>8</v>
      </c>
      <c r="C106" s="1028"/>
      <c r="D106" s="1028"/>
      <c r="E106" s="1028"/>
      <c r="F106" s="294">
        <v>1</v>
      </c>
      <c r="G106" s="773">
        <v>15</v>
      </c>
      <c r="H106" s="296">
        <v>45448</v>
      </c>
      <c r="I106" s="296">
        <f>H106</f>
        <v>45448</v>
      </c>
      <c r="J106" s="297">
        <f t="shared" ref="J106:J120" si="72">H106*20%</f>
        <v>9089.6</v>
      </c>
      <c r="K106" s="297">
        <f>I106*0.7</f>
        <v>31813.599999999999</v>
      </c>
      <c r="L106" s="297">
        <f t="shared" ref="L106:L120" si="73">(I106+J106+K106)*0.5</f>
        <v>43175.6</v>
      </c>
      <c r="M106" s="297">
        <f t="shared" si="70"/>
        <v>43175.6</v>
      </c>
      <c r="N106" s="297">
        <f t="shared" si="71"/>
        <v>163612.80000000002</v>
      </c>
      <c r="O106" s="298">
        <f>N106*12</f>
        <v>1963353.6</v>
      </c>
    </row>
    <row r="107" spans="1:15" x14ac:dyDescent="0.35">
      <c r="A107" s="300">
        <v>3</v>
      </c>
      <c r="B107" s="1027" t="s">
        <v>9</v>
      </c>
      <c r="C107" s="1028"/>
      <c r="D107" s="1028"/>
      <c r="E107" s="1028"/>
      <c r="F107" s="774">
        <v>1</v>
      </c>
      <c r="G107" s="773">
        <v>15</v>
      </c>
      <c r="H107" s="296">
        <v>45448</v>
      </c>
      <c r="I107" s="296">
        <f>H107</f>
        <v>45448</v>
      </c>
      <c r="J107" s="297">
        <f t="shared" si="72"/>
        <v>9089.6</v>
      </c>
      <c r="K107" s="297">
        <f t="shared" ref="K107:K115" si="74">I107*0.7</f>
        <v>31813.599999999999</v>
      </c>
      <c r="L107" s="297">
        <f t="shared" si="73"/>
        <v>43175.6</v>
      </c>
      <c r="M107" s="297">
        <f t="shared" si="70"/>
        <v>43175.6</v>
      </c>
      <c r="N107" s="297">
        <f t="shared" si="71"/>
        <v>163612.80000000002</v>
      </c>
      <c r="O107" s="298">
        <f t="shared" ref="O107:O115" si="75">N107*12</f>
        <v>1963353.6</v>
      </c>
    </row>
    <row r="108" spans="1:15" x14ac:dyDescent="0.35">
      <c r="A108" s="300">
        <v>4</v>
      </c>
      <c r="B108" s="1027" t="s">
        <v>10</v>
      </c>
      <c r="C108" s="1028"/>
      <c r="D108" s="1028"/>
      <c r="E108" s="1028"/>
      <c r="F108" s="774">
        <v>1</v>
      </c>
      <c r="G108" s="302">
        <v>9</v>
      </c>
      <c r="H108" s="39">
        <v>24722</v>
      </c>
      <c r="I108" s="296">
        <f>H108</f>
        <v>24722</v>
      </c>
      <c r="J108" s="297">
        <f t="shared" si="72"/>
        <v>4944.4000000000005</v>
      </c>
      <c r="K108" s="297">
        <f t="shared" si="74"/>
        <v>17305.399999999998</v>
      </c>
      <c r="L108" s="297">
        <f t="shared" si="73"/>
        <v>23485.9</v>
      </c>
      <c r="M108" s="297">
        <f t="shared" si="70"/>
        <v>23485.9</v>
      </c>
      <c r="N108" s="297">
        <f t="shared" si="71"/>
        <v>88999.2</v>
      </c>
      <c r="O108" s="298">
        <f t="shared" si="75"/>
        <v>1067990.3999999999</v>
      </c>
    </row>
    <row r="109" spans="1:15" x14ac:dyDescent="0.35">
      <c r="A109" s="300">
        <v>5</v>
      </c>
      <c r="B109" s="1027" t="s">
        <v>11</v>
      </c>
      <c r="C109" s="1028"/>
      <c r="D109" s="1028"/>
      <c r="E109" s="1028"/>
      <c r="F109" s="774">
        <v>1</v>
      </c>
      <c r="G109" s="302">
        <v>9</v>
      </c>
      <c r="H109" s="39">
        <v>24722</v>
      </c>
      <c r="I109" s="296">
        <f t="shared" ref="I109:I112" si="76">H109</f>
        <v>24722</v>
      </c>
      <c r="J109" s="297">
        <f t="shared" si="72"/>
        <v>4944.4000000000005</v>
      </c>
      <c r="K109" s="297">
        <f t="shared" si="74"/>
        <v>17305.399999999998</v>
      </c>
      <c r="L109" s="297">
        <f t="shared" si="73"/>
        <v>23485.9</v>
      </c>
      <c r="M109" s="297">
        <f t="shared" si="70"/>
        <v>23485.9</v>
      </c>
      <c r="N109" s="297">
        <f t="shared" si="71"/>
        <v>88999.2</v>
      </c>
      <c r="O109" s="298">
        <f t="shared" si="75"/>
        <v>1067990.3999999999</v>
      </c>
    </row>
    <row r="110" spans="1:15" x14ac:dyDescent="0.35">
      <c r="A110" s="300">
        <v>6</v>
      </c>
      <c r="B110" s="1183" t="s">
        <v>91</v>
      </c>
      <c r="C110" s="1184"/>
      <c r="D110" s="1184"/>
      <c r="E110" s="1185"/>
      <c r="F110" s="774">
        <v>1</v>
      </c>
      <c r="G110" s="302">
        <v>9</v>
      </c>
      <c r="H110" s="39">
        <v>24722</v>
      </c>
      <c r="I110" s="296">
        <f t="shared" si="76"/>
        <v>24722</v>
      </c>
      <c r="J110" s="297">
        <f t="shared" si="72"/>
        <v>4944.4000000000005</v>
      </c>
      <c r="K110" s="297">
        <f t="shared" si="74"/>
        <v>17305.399999999998</v>
      </c>
      <c r="L110" s="297">
        <f t="shared" si="73"/>
        <v>23485.9</v>
      </c>
      <c r="M110" s="297">
        <f t="shared" si="70"/>
        <v>23485.9</v>
      </c>
      <c r="N110" s="297">
        <f t="shared" si="71"/>
        <v>88999.2</v>
      </c>
      <c r="O110" s="298">
        <f t="shared" si="75"/>
        <v>1067990.3999999999</v>
      </c>
    </row>
    <row r="111" spans="1:15" x14ac:dyDescent="0.35">
      <c r="A111" s="300">
        <v>7</v>
      </c>
      <c r="B111" s="1027" t="s">
        <v>12</v>
      </c>
      <c r="C111" s="1028"/>
      <c r="D111" s="1028"/>
      <c r="E111" s="1028"/>
      <c r="F111" s="774">
        <v>1</v>
      </c>
      <c r="G111" s="302">
        <v>9</v>
      </c>
      <c r="H111" s="39">
        <v>24722</v>
      </c>
      <c r="I111" s="296">
        <f t="shared" si="76"/>
        <v>24722</v>
      </c>
      <c r="J111" s="297">
        <f t="shared" si="72"/>
        <v>4944.4000000000005</v>
      </c>
      <c r="K111" s="297">
        <f t="shared" si="74"/>
        <v>17305.399999999998</v>
      </c>
      <c r="L111" s="297">
        <f t="shared" si="73"/>
        <v>23485.9</v>
      </c>
      <c r="M111" s="297">
        <f t="shared" si="70"/>
        <v>23485.9</v>
      </c>
      <c r="N111" s="297">
        <f t="shared" si="71"/>
        <v>88999.2</v>
      </c>
      <c r="O111" s="298">
        <f t="shared" si="75"/>
        <v>1067990.3999999999</v>
      </c>
    </row>
    <row r="112" spans="1:15" x14ac:dyDescent="0.35">
      <c r="A112" s="300">
        <v>8</v>
      </c>
      <c r="B112" s="1027" t="s">
        <v>13</v>
      </c>
      <c r="C112" s="1028"/>
      <c r="D112" s="1028"/>
      <c r="E112" s="1028"/>
      <c r="F112" s="774">
        <v>2</v>
      </c>
      <c r="G112" s="302">
        <v>7</v>
      </c>
      <c r="H112" s="39">
        <v>19332</v>
      </c>
      <c r="I112" s="296">
        <f t="shared" si="76"/>
        <v>19332</v>
      </c>
      <c r="J112" s="297">
        <f t="shared" si="72"/>
        <v>3866.4</v>
      </c>
      <c r="K112" s="297">
        <f t="shared" si="74"/>
        <v>13532.4</v>
      </c>
      <c r="L112" s="297">
        <f t="shared" si="73"/>
        <v>18365.400000000001</v>
      </c>
      <c r="M112" s="297">
        <f t="shared" si="70"/>
        <v>18365.400000000001</v>
      </c>
      <c r="N112" s="297">
        <f t="shared" si="71"/>
        <v>69595.200000000012</v>
      </c>
      <c r="O112" s="298">
        <f t="shared" si="75"/>
        <v>835142.40000000014</v>
      </c>
    </row>
    <row r="113" spans="1:15" ht="24.5" customHeight="1" x14ac:dyDescent="0.35">
      <c r="A113" s="300">
        <v>9</v>
      </c>
      <c r="B113" s="1016" t="s">
        <v>93</v>
      </c>
      <c r="C113" s="1017"/>
      <c r="D113" s="1017"/>
      <c r="E113" s="1018"/>
      <c r="F113" s="774">
        <v>2</v>
      </c>
      <c r="G113" s="302">
        <v>13</v>
      </c>
      <c r="H113" s="39">
        <v>36247</v>
      </c>
      <c r="I113" s="297">
        <f>H113*F113</f>
        <v>72494</v>
      </c>
      <c r="J113" s="297">
        <f t="shared" si="72"/>
        <v>7249.4000000000005</v>
      </c>
      <c r="K113" s="297">
        <f t="shared" si="74"/>
        <v>50745.799999999996</v>
      </c>
      <c r="L113" s="297">
        <f t="shared" si="73"/>
        <v>65244.599999999991</v>
      </c>
      <c r="M113" s="297">
        <f t="shared" si="70"/>
        <v>65244.599999999991</v>
      </c>
      <c r="N113" s="297">
        <f t="shared" si="71"/>
        <v>253728.99999999994</v>
      </c>
      <c r="O113" s="298">
        <f t="shared" si="75"/>
        <v>3044747.9999999991</v>
      </c>
    </row>
    <row r="114" spans="1:15" x14ac:dyDescent="0.35">
      <c r="A114" s="300">
        <v>10</v>
      </c>
      <c r="B114" s="1016" t="s">
        <v>94</v>
      </c>
      <c r="C114" s="1017"/>
      <c r="D114" s="1017"/>
      <c r="E114" s="1018"/>
      <c r="F114" s="774">
        <v>1</v>
      </c>
      <c r="G114" s="302">
        <v>7</v>
      </c>
      <c r="H114" s="39">
        <v>19332</v>
      </c>
      <c r="I114" s="296">
        <f t="shared" ref="I114:I115" si="77">H114</f>
        <v>19332</v>
      </c>
      <c r="J114" s="297">
        <f t="shared" si="72"/>
        <v>3866.4</v>
      </c>
      <c r="K114" s="297">
        <f t="shared" si="74"/>
        <v>13532.4</v>
      </c>
      <c r="L114" s="297">
        <f t="shared" si="73"/>
        <v>18365.400000000001</v>
      </c>
      <c r="M114" s="297">
        <f t="shared" si="70"/>
        <v>18365.400000000001</v>
      </c>
      <c r="N114" s="297">
        <f t="shared" si="71"/>
        <v>69595.200000000012</v>
      </c>
      <c r="O114" s="298">
        <f t="shared" si="75"/>
        <v>835142.40000000014</v>
      </c>
    </row>
    <row r="115" spans="1:15" x14ac:dyDescent="0.35">
      <c r="A115" s="300">
        <v>11</v>
      </c>
      <c r="B115" s="1016" t="s">
        <v>14</v>
      </c>
      <c r="C115" s="1017"/>
      <c r="D115" s="1017"/>
      <c r="E115" s="1018"/>
      <c r="F115" s="774">
        <v>1</v>
      </c>
      <c r="G115" s="302">
        <v>7</v>
      </c>
      <c r="H115" s="39">
        <v>19332</v>
      </c>
      <c r="I115" s="296">
        <f t="shared" si="77"/>
        <v>19332</v>
      </c>
      <c r="J115" s="297">
        <f t="shared" si="72"/>
        <v>3866.4</v>
      </c>
      <c r="K115" s="297">
        <f t="shared" si="74"/>
        <v>13532.4</v>
      </c>
      <c r="L115" s="297">
        <f t="shared" si="73"/>
        <v>18365.400000000001</v>
      </c>
      <c r="M115" s="297">
        <f t="shared" si="70"/>
        <v>18365.400000000001</v>
      </c>
      <c r="N115" s="297">
        <f t="shared" si="71"/>
        <v>69595.200000000012</v>
      </c>
      <c r="O115" s="298">
        <f t="shared" si="75"/>
        <v>835142.40000000014</v>
      </c>
    </row>
    <row r="116" spans="1:15" x14ac:dyDescent="0.35">
      <c r="A116" s="300">
        <v>12</v>
      </c>
      <c r="B116" s="765" t="s">
        <v>92</v>
      </c>
      <c r="C116" s="766"/>
      <c r="D116" s="766"/>
      <c r="E116" s="766"/>
      <c r="F116" s="774">
        <v>1</v>
      </c>
      <c r="G116" s="302">
        <v>9</v>
      </c>
      <c r="H116" s="39">
        <v>24722</v>
      </c>
      <c r="I116" s="296">
        <f>H116</f>
        <v>24722</v>
      </c>
      <c r="J116" s="297">
        <f t="shared" si="72"/>
        <v>4944.4000000000005</v>
      </c>
      <c r="K116" s="297">
        <f>I116*0.7</f>
        <v>17305.399999999998</v>
      </c>
      <c r="L116" s="297">
        <f t="shared" si="73"/>
        <v>23485.9</v>
      </c>
      <c r="M116" s="297">
        <f t="shared" si="70"/>
        <v>23485.9</v>
      </c>
      <c r="N116" s="297">
        <f t="shared" si="71"/>
        <v>88999.2</v>
      </c>
      <c r="O116" s="298">
        <f>N116*12</f>
        <v>1067990.3999999999</v>
      </c>
    </row>
    <row r="117" spans="1:15" x14ac:dyDescent="0.35">
      <c r="A117" s="300">
        <v>13</v>
      </c>
      <c r="B117" s="765" t="s">
        <v>96</v>
      </c>
      <c r="C117" s="766"/>
      <c r="D117" s="766"/>
      <c r="E117" s="766"/>
      <c r="F117" s="774">
        <v>0.5</v>
      </c>
      <c r="G117" s="302">
        <v>6</v>
      </c>
      <c r="H117" s="39">
        <v>17101</v>
      </c>
      <c r="I117" s="297">
        <f>H117*F117</f>
        <v>8550.5</v>
      </c>
      <c r="J117" s="297">
        <f t="shared" si="72"/>
        <v>3420.2000000000003</v>
      </c>
      <c r="K117" s="297">
        <f>I117*0.7</f>
        <v>5985.3499999999995</v>
      </c>
      <c r="L117" s="297">
        <f t="shared" si="73"/>
        <v>8978.0249999999996</v>
      </c>
      <c r="M117" s="297">
        <f t="shared" si="70"/>
        <v>8978.0249999999996</v>
      </c>
      <c r="N117" s="297">
        <f t="shared" si="71"/>
        <v>32491.9</v>
      </c>
      <c r="O117" s="298">
        <f>N117*12</f>
        <v>389902.80000000005</v>
      </c>
    </row>
    <row r="118" spans="1:15" x14ac:dyDescent="0.35">
      <c r="A118" s="300">
        <v>14</v>
      </c>
      <c r="B118" s="759" t="s">
        <v>97</v>
      </c>
      <c r="C118" s="760"/>
      <c r="D118" s="760"/>
      <c r="E118" s="760"/>
      <c r="F118" s="774">
        <v>0.5</v>
      </c>
      <c r="G118" s="302">
        <v>3</v>
      </c>
      <c r="H118" s="39">
        <v>11896</v>
      </c>
      <c r="I118" s="297">
        <f>H118*F118</f>
        <v>5948</v>
      </c>
      <c r="J118" s="297">
        <f t="shared" si="72"/>
        <v>2379.2000000000003</v>
      </c>
      <c r="K118" s="297">
        <f>I118*0.7</f>
        <v>4163.5999999999995</v>
      </c>
      <c r="L118" s="297">
        <f t="shared" si="73"/>
        <v>6245.4</v>
      </c>
      <c r="M118" s="297">
        <f t="shared" si="70"/>
        <v>6245.4</v>
      </c>
      <c r="N118" s="297">
        <f t="shared" si="71"/>
        <v>22602.399999999998</v>
      </c>
      <c r="O118" s="298">
        <f>N118*12</f>
        <v>271228.79999999999</v>
      </c>
    </row>
    <row r="119" spans="1:15" x14ac:dyDescent="0.35">
      <c r="A119" s="767">
        <v>15</v>
      </c>
      <c r="B119" s="769" t="s">
        <v>1257</v>
      </c>
      <c r="C119" s="770"/>
      <c r="D119" s="770"/>
      <c r="E119" s="770"/>
      <c r="F119" s="32">
        <v>1</v>
      </c>
      <c r="G119" s="302">
        <v>3</v>
      </c>
      <c r="H119" s="39">
        <v>11896</v>
      </c>
      <c r="I119" s="296">
        <f>H119</f>
        <v>11896</v>
      </c>
      <c r="J119" s="297">
        <f t="shared" si="72"/>
        <v>2379.2000000000003</v>
      </c>
      <c r="K119" s="297">
        <f>I119*0.7</f>
        <v>8327.1999999999989</v>
      </c>
      <c r="L119" s="297">
        <f t="shared" si="73"/>
        <v>11301.2</v>
      </c>
      <c r="M119" s="297">
        <f t="shared" si="70"/>
        <v>11301.2</v>
      </c>
      <c r="N119" s="297">
        <f t="shared" si="71"/>
        <v>42825.599999999999</v>
      </c>
      <c r="O119" s="298">
        <f>N119*12</f>
        <v>513907.19999999995</v>
      </c>
    </row>
    <row r="120" spans="1:15" ht="15" thickBot="1" x14ac:dyDescent="0.4">
      <c r="A120" s="757">
        <v>16</v>
      </c>
      <c r="B120" s="965" t="s">
        <v>1338</v>
      </c>
      <c r="C120" s="966"/>
      <c r="D120" s="966"/>
      <c r="E120" s="967"/>
      <c r="F120" s="32">
        <v>1</v>
      </c>
      <c r="G120" s="302">
        <v>7</v>
      </c>
      <c r="H120" s="39">
        <v>19332</v>
      </c>
      <c r="I120" s="296">
        <f>H120</f>
        <v>19332</v>
      </c>
      <c r="J120" s="297">
        <f t="shared" si="72"/>
        <v>3866.4</v>
      </c>
      <c r="K120" s="297">
        <f>I120*0.7</f>
        <v>13532.4</v>
      </c>
      <c r="L120" s="297">
        <f t="shared" si="73"/>
        <v>18365.400000000001</v>
      </c>
      <c r="M120" s="297">
        <f t="shared" si="70"/>
        <v>18365.400000000001</v>
      </c>
      <c r="N120" s="297">
        <f t="shared" si="71"/>
        <v>69595.200000000012</v>
      </c>
      <c r="O120" s="298">
        <f>N120*12</f>
        <v>835142.40000000014</v>
      </c>
    </row>
    <row r="121" spans="1:15" ht="15" thickBot="1" x14ac:dyDescent="0.4">
      <c r="A121" s="1047" t="s">
        <v>84</v>
      </c>
      <c r="B121" s="1048"/>
      <c r="C121" s="1048"/>
      <c r="D121" s="1048"/>
      <c r="E121" s="1049"/>
      <c r="F121" s="303">
        <f>SUM(F105:F120)</f>
        <v>17</v>
      </c>
      <c r="G121" s="304"/>
      <c r="H121" s="305">
        <f t="shared" ref="H121" si="78">SUM(H105:H120)</f>
        <v>419812</v>
      </c>
      <c r="I121" s="305">
        <f t="shared" ref="I121" si="79">SUM(I105:I120)</f>
        <v>441560.5</v>
      </c>
      <c r="J121" s="305">
        <f t="shared" ref="J121" si="80">SUM(J105:J120)</f>
        <v>83962.4</v>
      </c>
      <c r="K121" s="305">
        <f>SUM(K105:K120)</f>
        <v>309092.34999999992</v>
      </c>
      <c r="L121" s="305">
        <f>SUM(L105:L120)</f>
        <v>417307.62500000012</v>
      </c>
      <c r="M121" s="305">
        <f>SUM(M105:M120)</f>
        <v>417307.62500000012</v>
      </c>
      <c r="N121" s="305">
        <f>SUM(N105:N120)</f>
        <v>1585268.0999999996</v>
      </c>
      <c r="O121" s="305">
        <f>SUM(O105:O120)</f>
        <v>19023217.199999999</v>
      </c>
    </row>
    <row r="122" spans="1:15" ht="15" thickBot="1" x14ac:dyDescent="0.4">
      <c r="A122" s="289"/>
      <c r="B122" s="289"/>
      <c r="C122" s="306" t="s">
        <v>16</v>
      </c>
      <c r="D122" s="306"/>
      <c r="E122" s="306"/>
      <c r="F122" s="306"/>
      <c r="G122" s="306"/>
      <c r="H122" s="306"/>
      <c r="I122" s="306"/>
      <c r="J122" s="306"/>
      <c r="K122" s="306"/>
      <c r="L122" s="306"/>
      <c r="M122" s="289"/>
      <c r="N122" s="289"/>
      <c r="O122" s="289"/>
    </row>
    <row r="123" spans="1:15" ht="15" thickBot="1" x14ac:dyDescent="0.4">
      <c r="A123" s="1142" t="s">
        <v>0</v>
      </c>
      <c r="B123" s="1155" t="s">
        <v>1</v>
      </c>
      <c r="C123" s="1156"/>
      <c r="D123" s="1156"/>
      <c r="E123" s="1157"/>
      <c r="F123" s="1144" t="s">
        <v>75</v>
      </c>
      <c r="G123" s="1142" t="s">
        <v>76</v>
      </c>
      <c r="H123" s="1144" t="s">
        <v>77</v>
      </c>
      <c r="I123" s="1146" t="s">
        <v>78</v>
      </c>
      <c r="J123" s="1147"/>
      <c r="K123" s="1148"/>
      <c r="L123" s="1148"/>
      <c r="M123" s="1148"/>
      <c r="N123" s="1182"/>
      <c r="O123" s="1150" t="s">
        <v>79</v>
      </c>
    </row>
    <row r="124" spans="1:15" ht="20.5" thickBot="1" x14ac:dyDescent="0.4">
      <c r="A124" s="1143"/>
      <c r="B124" s="1158"/>
      <c r="C124" s="1159"/>
      <c r="D124" s="1159"/>
      <c r="E124" s="1160"/>
      <c r="F124" s="1145"/>
      <c r="G124" s="1143"/>
      <c r="H124" s="1145"/>
      <c r="I124" s="307" t="s">
        <v>80</v>
      </c>
      <c r="J124" s="307" t="s">
        <v>1464</v>
      </c>
      <c r="K124" s="307" t="s">
        <v>81</v>
      </c>
      <c r="L124" s="292" t="s">
        <v>82</v>
      </c>
      <c r="M124" s="307" t="s">
        <v>83</v>
      </c>
      <c r="N124" s="292" t="s">
        <v>84</v>
      </c>
      <c r="O124" s="1151"/>
    </row>
    <row r="125" spans="1:15" ht="21.5" customHeight="1" x14ac:dyDescent="0.35">
      <c r="A125" s="308">
        <v>1</v>
      </c>
      <c r="B125" s="1181" t="s">
        <v>95</v>
      </c>
      <c r="C125" s="1181"/>
      <c r="D125" s="1181"/>
      <c r="E125" s="1181"/>
      <c r="F125" s="773">
        <v>1</v>
      </c>
      <c r="G125" s="309">
        <v>8</v>
      </c>
      <c r="H125" s="310">
        <v>21841</v>
      </c>
      <c r="I125" s="296">
        <f>H125</f>
        <v>21841</v>
      </c>
      <c r="J125" s="297">
        <f t="shared" ref="J125:J132" si="81">H125*20%</f>
        <v>4368.2</v>
      </c>
      <c r="K125" s="297">
        <f t="shared" ref="K125:K131" si="82">I125*0.7</f>
        <v>15288.699999999999</v>
      </c>
      <c r="L125" s="297">
        <f t="shared" ref="L125:L132" si="83">(I125+J125+K125)*0.5</f>
        <v>20748.95</v>
      </c>
      <c r="M125" s="297">
        <f t="shared" ref="M125:M127" si="84">L125</f>
        <v>20748.95</v>
      </c>
      <c r="N125" s="297">
        <f t="shared" ref="N125:N127" si="85">I125+K125+L125+M125</f>
        <v>78627.599999999991</v>
      </c>
      <c r="O125" s="298">
        <f t="shared" ref="O125:O132" si="86">N125*12</f>
        <v>943531.2</v>
      </c>
    </row>
    <row r="126" spans="1:15" ht="27" customHeight="1" x14ac:dyDescent="0.35">
      <c r="A126" s="311">
        <v>2</v>
      </c>
      <c r="B126" s="1031" t="s">
        <v>1454</v>
      </c>
      <c r="C126" s="1031"/>
      <c r="D126" s="1031"/>
      <c r="E126" s="1031"/>
      <c r="F126" s="302">
        <v>2</v>
      </c>
      <c r="G126" s="327">
        <v>4</v>
      </c>
      <c r="H126" s="311">
        <v>13383</v>
      </c>
      <c r="I126" s="296">
        <f>H126</f>
        <v>13383</v>
      </c>
      <c r="J126" s="297">
        <f t="shared" si="81"/>
        <v>2676.6000000000004</v>
      </c>
      <c r="K126" s="297">
        <f t="shared" si="82"/>
        <v>9368.0999999999985</v>
      </c>
      <c r="L126" s="297">
        <f t="shared" si="83"/>
        <v>12713.849999999999</v>
      </c>
      <c r="M126" s="297">
        <f t="shared" si="84"/>
        <v>12713.849999999999</v>
      </c>
      <c r="N126" s="297">
        <f t="shared" si="85"/>
        <v>48178.799999999996</v>
      </c>
      <c r="O126" s="298">
        <f t="shared" si="86"/>
        <v>578145.6</v>
      </c>
    </row>
    <row r="127" spans="1:15" x14ac:dyDescent="0.35">
      <c r="A127" s="312">
        <v>3</v>
      </c>
      <c r="B127" s="970" t="s">
        <v>85</v>
      </c>
      <c r="C127" s="971"/>
      <c r="D127" s="971"/>
      <c r="E127" s="1007"/>
      <c r="F127" s="774">
        <v>1</v>
      </c>
      <c r="G127" s="302">
        <v>7</v>
      </c>
      <c r="H127" s="39">
        <v>19332</v>
      </c>
      <c r="I127" s="296">
        <f>H127</f>
        <v>19332</v>
      </c>
      <c r="J127" s="297">
        <f t="shared" si="81"/>
        <v>3866.4</v>
      </c>
      <c r="K127" s="297">
        <f t="shared" si="82"/>
        <v>13532.4</v>
      </c>
      <c r="L127" s="297">
        <f t="shared" si="83"/>
        <v>18365.400000000001</v>
      </c>
      <c r="M127" s="297">
        <f t="shared" si="84"/>
        <v>18365.400000000001</v>
      </c>
      <c r="N127" s="297">
        <f t="shared" si="85"/>
        <v>69595.200000000012</v>
      </c>
      <c r="O127" s="298">
        <f t="shared" si="86"/>
        <v>835142.40000000014</v>
      </c>
    </row>
    <row r="128" spans="1:15" x14ac:dyDescent="0.35">
      <c r="A128" s="314">
        <v>4</v>
      </c>
      <c r="B128" s="772" t="s">
        <v>98</v>
      </c>
      <c r="C128" s="772"/>
      <c r="D128" s="772"/>
      <c r="E128" s="772"/>
      <c r="F128" s="768">
        <v>1</v>
      </c>
      <c r="G128" s="773">
        <v>8</v>
      </c>
      <c r="H128" s="310">
        <v>21841</v>
      </c>
      <c r="I128" s="296">
        <f>H128*F128</f>
        <v>21841</v>
      </c>
      <c r="J128" s="297">
        <f t="shared" si="81"/>
        <v>4368.2</v>
      </c>
      <c r="K128" s="297">
        <f t="shared" si="82"/>
        <v>15288.699999999999</v>
      </c>
      <c r="L128" s="297">
        <f t="shared" si="83"/>
        <v>20748.95</v>
      </c>
      <c r="M128" s="297">
        <f>L128</f>
        <v>20748.95</v>
      </c>
      <c r="N128" s="297">
        <f>I128+K128+L128+M128</f>
        <v>78627.599999999991</v>
      </c>
      <c r="O128" s="298">
        <f t="shared" si="86"/>
        <v>943531.2</v>
      </c>
    </row>
    <row r="129" spans="1:15" x14ac:dyDescent="0.35">
      <c r="A129" s="315">
        <v>5</v>
      </c>
      <c r="B129" s="772" t="s">
        <v>99</v>
      </c>
      <c r="C129" s="772"/>
      <c r="D129" s="772"/>
      <c r="E129" s="772"/>
      <c r="F129" s="768">
        <v>1</v>
      </c>
      <c r="G129" s="773">
        <v>8</v>
      </c>
      <c r="H129" s="310">
        <v>21841</v>
      </c>
      <c r="I129" s="296">
        <f>H129*F129</f>
        <v>21841</v>
      </c>
      <c r="J129" s="297">
        <f t="shared" si="81"/>
        <v>4368.2</v>
      </c>
      <c r="K129" s="297">
        <f t="shared" si="82"/>
        <v>15288.699999999999</v>
      </c>
      <c r="L129" s="297">
        <f t="shared" si="83"/>
        <v>20748.95</v>
      </c>
      <c r="M129" s="297">
        <f>L129</f>
        <v>20748.95</v>
      </c>
      <c r="N129" s="297">
        <f>I129+K129+L129+M129</f>
        <v>78627.599999999991</v>
      </c>
      <c r="O129" s="298">
        <f t="shared" si="86"/>
        <v>943531.2</v>
      </c>
    </row>
    <row r="130" spans="1:15" x14ac:dyDescent="0.35">
      <c r="A130" s="315">
        <v>6</v>
      </c>
      <c r="B130" s="946" t="s">
        <v>1443</v>
      </c>
      <c r="C130" s="946"/>
      <c r="D130" s="946"/>
      <c r="E130" s="946"/>
      <c r="F130" s="775">
        <v>1</v>
      </c>
      <c r="G130" s="302">
        <v>8</v>
      </c>
      <c r="H130" s="39">
        <v>21841</v>
      </c>
      <c r="I130" s="296">
        <f>H130*F130</f>
        <v>21841</v>
      </c>
      <c r="J130" s="297">
        <f t="shared" si="81"/>
        <v>4368.2</v>
      </c>
      <c r="K130" s="297">
        <f t="shared" si="82"/>
        <v>15288.699999999999</v>
      </c>
      <c r="L130" s="297">
        <f t="shared" si="83"/>
        <v>20748.95</v>
      </c>
      <c r="M130" s="297">
        <f>L130</f>
        <v>20748.95</v>
      </c>
      <c r="N130" s="297">
        <f>I130+K130+L130+M130</f>
        <v>78627.599999999991</v>
      </c>
      <c r="O130" s="298">
        <f t="shared" si="86"/>
        <v>943531.2</v>
      </c>
    </row>
    <row r="131" spans="1:15" x14ac:dyDescent="0.35">
      <c r="A131" s="312">
        <v>7</v>
      </c>
      <c r="B131" s="946" t="s">
        <v>1453</v>
      </c>
      <c r="C131" s="946"/>
      <c r="D131" s="946"/>
      <c r="E131" s="946"/>
      <c r="F131" s="775">
        <v>1</v>
      </c>
      <c r="G131" s="302">
        <v>8</v>
      </c>
      <c r="H131" s="39">
        <v>21841</v>
      </c>
      <c r="I131" s="296">
        <f>H131*F131</f>
        <v>21841</v>
      </c>
      <c r="J131" s="297">
        <f t="shared" si="81"/>
        <v>4368.2</v>
      </c>
      <c r="K131" s="297">
        <f t="shared" si="82"/>
        <v>15288.699999999999</v>
      </c>
      <c r="L131" s="297">
        <f t="shared" si="83"/>
        <v>20748.95</v>
      </c>
      <c r="M131" s="297">
        <f>L131</f>
        <v>20748.95</v>
      </c>
      <c r="N131" s="297">
        <f>I131+K131+L131+M131</f>
        <v>78627.599999999991</v>
      </c>
      <c r="O131" s="298">
        <f t="shared" si="86"/>
        <v>943531.2</v>
      </c>
    </row>
    <row r="132" spans="1:15" ht="15" thickBot="1" x14ac:dyDescent="0.4">
      <c r="A132" s="318">
        <v>8</v>
      </c>
      <c r="B132" s="1180" t="s">
        <v>86</v>
      </c>
      <c r="C132" s="1180"/>
      <c r="D132" s="1180"/>
      <c r="E132" s="1180"/>
      <c r="F132" s="40">
        <v>4</v>
      </c>
      <c r="G132" s="319">
        <v>8</v>
      </c>
      <c r="H132" s="310">
        <v>21841</v>
      </c>
      <c r="I132" s="320">
        <f>H132*F132</f>
        <v>87364</v>
      </c>
      <c r="J132" s="297">
        <f t="shared" si="81"/>
        <v>4368.2</v>
      </c>
      <c r="K132" s="321">
        <f>I132*0.75</f>
        <v>65523</v>
      </c>
      <c r="L132" s="297">
        <f t="shared" si="83"/>
        <v>78627.600000000006</v>
      </c>
      <c r="M132" s="321">
        <f>L132</f>
        <v>78627.600000000006</v>
      </c>
      <c r="N132" s="321">
        <f>I132+K132+L132+M132</f>
        <v>310142.2</v>
      </c>
      <c r="O132" s="779">
        <f t="shared" si="86"/>
        <v>3721706.4000000004</v>
      </c>
    </row>
    <row r="133" spans="1:15" ht="15" thickBot="1" x14ac:dyDescent="0.4">
      <c r="A133" s="1047" t="s">
        <v>84</v>
      </c>
      <c r="B133" s="1048"/>
      <c r="C133" s="1048"/>
      <c r="D133" s="1048"/>
      <c r="E133" s="1049"/>
      <c r="F133" s="303">
        <f>SUM(F125:F132)</f>
        <v>12</v>
      </c>
      <c r="G133" s="304"/>
      <c r="H133" s="305">
        <f t="shared" ref="H133" si="87">SUM(H125:H132)</f>
        <v>163761</v>
      </c>
      <c r="I133" s="305">
        <f t="shared" ref="I133" si="88">SUM(I125:I132)</f>
        <v>229284</v>
      </c>
      <c r="J133" s="305">
        <f t="shared" ref="J133" si="89">SUM(J125:J132)</f>
        <v>32752.200000000004</v>
      </c>
      <c r="K133" s="305">
        <f>SUM(K125:K132)</f>
        <v>164867</v>
      </c>
      <c r="L133" s="305">
        <f>SUM(L125:L132)</f>
        <v>213451.6</v>
      </c>
      <c r="M133" s="305">
        <f>SUM(M125:M132)</f>
        <v>213451.6</v>
      </c>
      <c r="N133" s="305">
        <f>SUM(N125:N132)</f>
        <v>821054.2</v>
      </c>
      <c r="O133" s="322">
        <f>SUM(O125:O132)</f>
        <v>9852650.4000000022</v>
      </c>
    </row>
    <row r="134" spans="1:15" ht="15" thickBot="1" x14ac:dyDescent="0.4">
      <c r="A134" s="323"/>
      <c r="B134" s="289"/>
      <c r="C134" s="306" t="s">
        <v>18</v>
      </c>
      <c r="D134" s="306"/>
      <c r="E134" s="306"/>
      <c r="F134" s="306"/>
      <c r="G134" s="306"/>
      <c r="H134" s="306"/>
      <c r="I134" s="306"/>
      <c r="J134" s="306"/>
      <c r="K134" s="306"/>
      <c r="L134" s="306"/>
      <c r="M134" s="289"/>
      <c r="N134" s="289"/>
      <c r="O134" s="289"/>
    </row>
    <row r="135" spans="1:15" ht="15" thickBot="1" x14ac:dyDescent="0.4">
      <c r="A135" s="1142" t="s">
        <v>0</v>
      </c>
      <c r="B135" s="1155" t="s">
        <v>1</v>
      </c>
      <c r="C135" s="1156"/>
      <c r="D135" s="1156"/>
      <c r="E135" s="1169"/>
      <c r="F135" s="1142" t="s">
        <v>75</v>
      </c>
      <c r="G135" s="1142" t="s">
        <v>76</v>
      </c>
      <c r="H135" s="1176" t="s">
        <v>77</v>
      </c>
      <c r="I135" s="1178" t="s">
        <v>78</v>
      </c>
      <c r="J135" s="1161"/>
      <c r="K135" s="1162"/>
      <c r="L135" s="1162"/>
      <c r="M135" s="1162"/>
      <c r="N135" s="1163"/>
      <c r="O135" s="1150" t="s">
        <v>79</v>
      </c>
    </row>
    <row r="136" spans="1:15" ht="20.5" thickBot="1" x14ac:dyDescent="0.4">
      <c r="A136" s="1143"/>
      <c r="B136" s="1158"/>
      <c r="C136" s="1159"/>
      <c r="D136" s="1159"/>
      <c r="E136" s="1171"/>
      <c r="F136" s="1143"/>
      <c r="G136" s="1143"/>
      <c r="H136" s="1177"/>
      <c r="I136" s="307" t="s">
        <v>80</v>
      </c>
      <c r="J136" s="307" t="s">
        <v>1464</v>
      </c>
      <c r="K136" s="307" t="s">
        <v>81</v>
      </c>
      <c r="L136" s="307" t="s">
        <v>82</v>
      </c>
      <c r="M136" s="307" t="s">
        <v>83</v>
      </c>
      <c r="N136" s="324" t="s">
        <v>84</v>
      </c>
      <c r="O136" s="1151"/>
    </row>
    <row r="137" spans="1:15" ht="21.5" customHeight="1" x14ac:dyDescent="0.35">
      <c r="A137" s="308">
        <v>1</v>
      </c>
      <c r="B137" s="1179" t="s">
        <v>100</v>
      </c>
      <c r="C137" s="1179"/>
      <c r="D137" s="1179"/>
      <c r="E137" s="1179"/>
      <c r="F137" s="309">
        <v>2</v>
      </c>
      <c r="G137" s="309">
        <v>2</v>
      </c>
      <c r="H137" s="310">
        <v>10502</v>
      </c>
      <c r="I137" s="310">
        <f t="shared" ref="I137:I144" si="90">H137*F137</f>
        <v>21004</v>
      </c>
      <c r="J137" s="297">
        <f t="shared" ref="J137:J148" si="91">H137*20%</f>
        <v>2100.4</v>
      </c>
      <c r="K137" s="325">
        <f t="shared" ref="K137:K140" si="92">I137*0.7</f>
        <v>14702.8</v>
      </c>
      <c r="L137" s="297">
        <f t="shared" ref="L137:L148" si="93">(I137+J137+K137)*0.5</f>
        <v>18903.599999999999</v>
      </c>
      <c r="M137" s="325">
        <f t="shared" ref="M137:M140" si="94">L137</f>
        <v>18903.599999999999</v>
      </c>
      <c r="N137" s="325">
        <f t="shared" ref="N137:N147" si="95">I137+K137+L137+M137</f>
        <v>73514</v>
      </c>
      <c r="O137" s="326">
        <f t="shared" ref="O137:O140" si="96">N137*12</f>
        <v>882168</v>
      </c>
    </row>
    <row r="138" spans="1:15" ht="21.5" customHeight="1" x14ac:dyDescent="0.35">
      <c r="A138" s="311">
        <v>2</v>
      </c>
      <c r="B138" s="1175" t="s">
        <v>101</v>
      </c>
      <c r="C138" s="1175"/>
      <c r="D138" s="1175"/>
      <c r="E138" s="1175"/>
      <c r="F138" s="327">
        <v>3</v>
      </c>
      <c r="G138" s="327">
        <v>3</v>
      </c>
      <c r="H138" s="328">
        <v>11896</v>
      </c>
      <c r="I138" s="328">
        <f t="shared" si="90"/>
        <v>35688</v>
      </c>
      <c r="J138" s="297">
        <f t="shared" si="91"/>
        <v>2379.2000000000003</v>
      </c>
      <c r="K138" s="329">
        <f t="shared" si="92"/>
        <v>24981.599999999999</v>
      </c>
      <c r="L138" s="297">
        <f t="shared" si="93"/>
        <v>31524.399999999998</v>
      </c>
      <c r="M138" s="329">
        <f t="shared" si="94"/>
        <v>31524.399999999998</v>
      </c>
      <c r="N138" s="329">
        <f t="shared" si="95"/>
        <v>123718.39999999999</v>
      </c>
      <c r="O138" s="330">
        <f t="shared" si="96"/>
        <v>1484620.7999999998</v>
      </c>
    </row>
    <row r="139" spans="1:15" ht="21.5" customHeight="1" x14ac:dyDescent="0.35">
      <c r="A139" s="311">
        <v>3</v>
      </c>
      <c r="B139" s="1175" t="s">
        <v>102</v>
      </c>
      <c r="C139" s="1175"/>
      <c r="D139" s="1175"/>
      <c r="E139" s="1175"/>
      <c r="F139" s="327">
        <v>5</v>
      </c>
      <c r="G139" s="327">
        <v>4</v>
      </c>
      <c r="H139" s="311">
        <v>13383</v>
      </c>
      <c r="I139" s="328">
        <f t="shared" si="90"/>
        <v>66915</v>
      </c>
      <c r="J139" s="297">
        <f t="shared" si="91"/>
        <v>2676.6000000000004</v>
      </c>
      <c r="K139" s="329">
        <f t="shared" si="92"/>
        <v>46840.5</v>
      </c>
      <c r="L139" s="297">
        <f t="shared" si="93"/>
        <v>58216.05</v>
      </c>
      <c r="M139" s="329">
        <f t="shared" si="94"/>
        <v>58216.05</v>
      </c>
      <c r="N139" s="329">
        <f t="shared" si="95"/>
        <v>230187.59999999998</v>
      </c>
      <c r="O139" s="330">
        <f t="shared" si="96"/>
        <v>2762251.1999999997</v>
      </c>
    </row>
    <row r="140" spans="1:15" ht="21.5" customHeight="1" x14ac:dyDescent="0.35">
      <c r="A140" s="308"/>
      <c r="B140" s="1175" t="s">
        <v>1460</v>
      </c>
      <c r="C140" s="1175"/>
      <c r="D140" s="1175"/>
      <c r="E140" s="1175"/>
      <c r="F140" s="32">
        <v>2</v>
      </c>
      <c r="G140" s="775">
        <v>5</v>
      </c>
      <c r="H140" s="332">
        <v>15149</v>
      </c>
      <c r="I140" s="328">
        <f t="shared" si="90"/>
        <v>30298</v>
      </c>
      <c r="J140" s="297">
        <f t="shared" si="91"/>
        <v>3029.8</v>
      </c>
      <c r="K140" s="329">
        <f t="shared" si="92"/>
        <v>21208.6</v>
      </c>
      <c r="L140" s="297">
        <f t="shared" si="93"/>
        <v>27268.2</v>
      </c>
      <c r="M140" s="329">
        <f t="shared" si="94"/>
        <v>27268.2</v>
      </c>
      <c r="N140" s="329">
        <f t="shared" si="95"/>
        <v>106043</v>
      </c>
      <c r="O140" s="330">
        <f t="shared" si="96"/>
        <v>1272516</v>
      </c>
    </row>
    <row r="141" spans="1:15" ht="21.5" customHeight="1" x14ac:dyDescent="0.35">
      <c r="A141" s="308">
        <v>4</v>
      </c>
      <c r="B141" s="1175" t="s">
        <v>1444</v>
      </c>
      <c r="C141" s="1175"/>
      <c r="D141" s="1175"/>
      <c r="E141" s="1175"/>
      <c r="F141" s="309">
        <v>2</v>
      </c>
      <c r="G141" s="773">
        <v>3</v>
      </c>
      <c r="H141" s="328">
        <v>11896</v>
      </c>
      <c r="I141" s="310">
        <f t="shared" si="90"/>
        <v>23792</v>
      </c>
      <c r="J141" s="297">
        <f t="shared" si="91"/>
        <v>2379.2000000000003</v>
      </c>
      <c r="K141" s="325">
        <f>I141*0.7</f>
        <v>16654.399999999998</v>
      </c>
      <c r="L141" s="297">
        <f t="shared" si="93"/>
        <v>21412.799999999999</v>
      </c>
      <c r="M141" s="325">
        <f>L141</f>
        <v>21412.799999999999</v>
      </c>
      <c r="N141" s="325">
        <f t="shared" si="95"/>
        <v>83272</v>
      </c>
      <c r="O141" s="326">
        <f>N141*12</f>
        <v>999264</v>
      </c>
    </row>
    <row r="142" spans="1:15" ht="21.5" customHeight="1" x14ac:dyDescent="0.35">
      <c r="A142" s="331">
        <v>5</v>
      </c>
      <c r="B142" s="1175" t="s">
        <v>1459</v>
      </c>
      <c r="C142" s="1175"/>
      <c r="D142" s="1175"/>
      <c r="E142" s="1175"/>
      <c r="F142" s="32">
        <v>8</v>
      </c>
      <c r="G142" s="302">
        <v>4</v>
      </c>
      <c r="H142" s="311">
        <v>13383</v>
      </c>
      <c r="I142" s="328">
        <f t="shared" si="90"/>
        <v>107064</v>
      </c>
      <c r="J142" s="297">
        <f t="shared" si="91"/>
        <v>2676.6000000000004</v>
      </c>
      <c r="K142" s="329">
        <f t="shared" ref="K142:K143" si="97">I142*0.7</f>
        <v>74944.799999999988</v>
      </c>
      <c r="L142" s="297">
        <f t="shared" si="93"/>
        <v>92342.7</v>
      </c>
      <c r="M142" s="329">
        <f t="shared" ref="M142:M148" si="98">L142</f>
        <v>92342.7</v>
      </c>
      <c r="N142" s="329">
        <f t="shared" si="95"/>
        <v>366694.2</v>
      </c>
      <c r="O142" s="330">
        <f t="shared" ref="O142:O147" si="99">N142*12</f>
        <v>4400330.4000000004</v>
      </c>
    </row>
    <row r="143" spans="1:15" ht="21.5" customHeight="1" x14ac:dyDescent="0.35">
      <c r="A143" s="331">
        <v>6</v>
      </c>
      <c r="B143" s="1175" t="s">
        <v>103</v>
      </c>
      <c r="C143" s="1175"/>
      <c r="D143" s="1175"/>
      <c r="E143" s="1175"/>
      <c r="F143" s="32">
        <v>2</v>
      </c>
      <c r="G143" s="302">
        <v>3</v>
      </c>
      <c r="H143" s="328">
        <v>11896</v>
      </c>
      <c r="I143" s="328">
        <f t="shared" si="90"/>
        <v>23792</v>
      </c>
      <c r="J143" s="297">
        <f t="shared" si="91"/>
        <v>2379.2000000000003</v>
      </c>
      <c r="K143" s="329">
        <f t="shared" si="97"/>
        <v>16654.399999999998</v>
      </c>
      <c r="L143" s="297">
        <f t="shared" si="93"/>
        <v>21412.799999999999</v>
      </c>
      <c r="M143" s="329">
        <f t="shared" si="98"/>
        <v>21412.799999999999</v>
      </c>
      <c r="N143" s="329">
        <f t="shared" si="95"/>
        <v>83272</v>
      </c>
      <c r="O143" s="330">
        <f t="shared" si="99"/>
        <v>999264</v>
      </c>
    </row>
    <row r="144" spans="1:15" ht="21.5" customHeight="1" x14ac:dyDescent="0.35">
      <c r="A144" s="331">
        <v>7</v>
      </c>
      <c r="B144" s="1175" t="s">
        <v>104</v>
      </c>
      <c r="C144" s="1175"/>
      <c r="D144" s="1175"/>
      <c r="E144" s="1175"/>
      <c r="F144" s="32">
        <v>4</v>
      </c>
      <c r="G144" s="302">
        <v>4</v>
      </c>
      <c r="H144" s="311">
        <v>13383</v>
      </c>
      <c r="I144" s="328">
        <f t="shared" si="90"/>
        <v>53532</v>
      </c>
      <c r="J144" s="297">
        <f t="shared" si="91"/>
        <v>2676.6000000000004</v>
      </c>
      <c r="K144" s="329">
        <f>I144*0.7</f>
        <v>37472.399999999994</v>
      </c>
      <c r="L144" s="297">
        <f t="shared" si="93"/>
        <v>46840.5</v>
      </c>
      <c r="M144" s="329">
        <f t="shared" si="98"/>
        <v>46840.5</v>
      </c>
      <c r="N144" s="329">
        <f t="shared" si="95"/>
        <v>184685.4</v>
      </c>
      <c r="O144" s="330">
        <f t="shared" si="99"/>
        <v>2216224.7999999998</v>
      </c>
    </row>
    <row r="145" spans="1:15" ht="21.5" customHeight="1" x14ac:dyDescent="0.35">
      <c r="A145" s="333">
        <v>8</v>
      </c>
      <c r="B145" s="1175" t="s">
        <v>1457</v>
      </c>
      <c r="C145" s="1175"/>
      <c r="D145" s="1175"/>
      <c r="E145" s="1175"/>
      <c r="F145" s="334">
        <v>1</v>
      </c>
      <c r="G145" s="335">
        <v>2</v>
      </c>
      <c r="H145" s="332">
        <v>10502</v>
      </c>
      <c r="I145" s="332">
        <v>8372</v>
      </c>
      <c r="J145" s="297">
        <f t="shared" si="91"/>
        <v>2100.4</v>
      </c>
      <c r="K145" s="329">
        <f t="shared" ref="K145:K147" si="100">I145*0.7</f>
        <v>5860.4</v>
      </c>
      <c r="L145" s="297">
        <f t="shared" si="93"/>
        <v>8166.4</v>
      </c>
      <c r="M145" s="329">
        <f t="shared" si="98"/>
        <v>8166.4</v>
      </c>
      <c r="N145" s="329">
        <f t="shared" si="95"/>
        <v>30565.199999999997</v>
      </c>
      <c r="O145" s="330">
        <f t="shared" si="99"/>
        <v>366782.39999999997</v>
      </c>
    </row>
    <row r="146" spans="1:15" ht="21.5" customHeight="1" x14ac:dyDescent="0.35">
      <c r="A146" s="333">
        <v>9</v>
      </c>
      <c r="B146" s="1175" t="s">
        <v>1458</v>
      </c>
      <c r="C146" s="1175"/>
      <c r="D146" s="1175"/>
      <c r="E146" s="1175"/>
      <c r="F146" s="334">
        <v>2</v>
      </c>
      <c r="G146" s="335">
        <v>4</v>
      </c>
      <c r="H146" s="311">
        <v>13383</v>
      </c>
      <c r="I146" s="332">
        <v>8372</v>
      </c>
      <c r="J146" s="297">
        <f t="shared" si="91"/>
        <v>2676.6000000000004</v>
      </c>
      <c r="K146" s="329">
        <f t="shared" si="100"/>
        <v>5860.4</v>
      </c>
      <c r="L146" s="297">
        <f t="shared" si="93"/>
        <v>8454.5</v>
      </c>
      <c r="M146" s="329">
        <f t="shared" si="98"/>
        <v>8454.5</v>
      </c>
      <c r="N146" s="329">
        <f t="shared" si="95"/>
        <v>31141.4</v>
      </c>
      <c r="O146" s="330">
        <f t="shared" si="99"/>
        <v>373696.80000000005</v>
      </c>
    </row>
    <row r="147" spans="1:15" x14ac:dyDescent="0.35">
      <c r="A147" s="333">
        <v>10</v>
      </c>
      <c r="B147" s="970" t="s">
        <v>1448</v>
      </c>
      <c r="C147" s="971"/>
      <c r="D147" s="971"/>
      <c r="E147" s="1007"/>
      <c r="F147" s="334">
        <v>4</v>
      </c>
      <c r="G147" s="335">
        <v>2</v>
      </c>
      <c r="H147" s="332">
        <v>10502</v>
      </c>
      <c r="I147" s="332">
        <v>7928</v>
      </c>
      <c r="J147" s="297">
        <f t="shared" si="91"/>
        <v>2100.4</v>
      </c>
      <c r="K147" s="329">
        <f t="shared" si="100"/>
        <v>5549.5999999999995</v>
      </c>
      <c r="L147" s="297">
        <f t="shared" si="93"/>
        <v>7789</v>
      </c>
      <c r="M147" s="329">
        <f t="shared" si="98"/>
        <v>7789</v>
      </c>
      <c r="N147" s="329">
        <f t="shared" si="95"/>
        <v>29055.599999999999</v>
      </c>
      <c r="O147" s="330">
        <f t="shared" si="99"/>
        <v>348667.19999999995</v>
      </c>
    </row>
    <row r="148" spans="1:15" ht="15" thickBot="1" x14ac:dyDescent="0.4">
      <c r="A148" s="336">
        <v>11</v>
      </c>
      <c r="B148" s="337" t="s">
        <v>19</v>
      </c>
      <c r="C148" s="338"/>
      <c r="D148" s="338"/>
      <c r="E148" s="339"/>
      <c r="F148" s="334">
        <v>2</v>
      </c>
      <c r="G148" s="334">
        <v>4</v>
      </c>
      <c r="H148" s="311">
        <v>13383</v>
      </c>
      <c r="I148" s="336">
        <f>F148*H148</f>
        <v>26766</v>
      </c>
      <c r="J148" s="297">
        <f t="shared" si="91"/>
        <v>2676.6000000000004</v>
      </c>
      <c r="K148" s="340">
        <f>I148*0.6</f>
        <v>16059.599999999999</v>
      </c>
      <c r="L148" s="297">
        <f t="shared" si="93"/>
        <v>22751.1</v>
      </c>
      <c r="M148" s="340">
        <f t="shared" si="98"/>
        <v>22751.1</v>
      </c>
      <c r="N148" s="340">
        <f>I148+K148+L148+M148</f>
        <v>88327.799999999988</v>
      </c>
      <c r="O148" s="341">
        <f>N148*12</f>
        <v>1059933.5999999999</v>
      </c>
    </row>
    <row r="149" spans="1:15" ht="15" thickBot="1" x14ac:dyDescent="0.4">
      <c r="A149" s="1047" t="s">
        <v>84</v>
      </c>
      <c r="B149" s="1048"/>
      <c r="C149" s="1048"/>
      <c r="D149" s="1048"/>
      <c r="E149" s="1167"/>
      <c r="F149" s="342">
        <f>SUM(F137:F148)</f>
        <v>37</v>
      </c>
      <c r="G149" s="343"/>
      <c r="H149" s="793">
        <f>SUM(H137:H148)</f>
        <v>149258</v>
      </c>
      <c r="I149" s="344">
        <f t="shared" ref="I149" si="101">SUM(I137:I148)</f>
        <v>413523</v>
      </c>
      <c r="J149" s="344">
        <f t="shared" ref="J149" si="102">SUM(J137:J148)</f>
        <v>29851.599999999999</v>
      </c>
      <c r="K149" s="344">
        <f>SUM(K137:K148)</f>
        <v>286789.49999999994</v>
      </c>
      <c r="L149" s="344">
        <f>SUM(L137:L148)</f>
        <v>365082.05</v>
      </c>
      <c r="M149" s="344">
        <f>SUM(M137:M148)</f>
        <v>365082.05</v>
      </c>
      <c r="N149" s="344">
        <f>SUM(N137:N148)</f>
        <v>1430476.5999999999</v>
      </c>
      <c r="O149" s="345">
        <f>SUM(O137:O148)</f>
        <v>17165719.199999999</v>
      </c>
    </row>
    <row r="150" spans="1:15" ht="9" customHeight="1" thickBot="1" x14ac:dyDescent="0.4">
      <c r="A150" s="788"/>
      <c r="B150" s="780"/>
      <c r="C150" s="782"/>
      <c r="D150" s="782"/>
      <c r="E150" s="782"/>
      <c r="F150" s="782"/>
      <c r="G150" s="783"/>
      <c r="H150" s="784"/>
      <c r="I150" s="784"/>
      <c r="J150" s="784"/>
      <c r="K150" s="785"/>
      <c r="L150" s="785"/>
      <c r="M150" s="781"/>
      <c r="N150" s="781"/>
      <c r="O150" s="789"/>
    </row>
    <row r="151" spans="1:15" ht="15" thickBot="1" x14ac:dyDescent="0.4">
      <c r="A151" s="1172" t="s">
        <v>1461</v>
      </c>
      <c r="B151" s="1173"/>
      <c r="C151" s="1173"/>
      <c r="D151" s="1173"/>
      <c r="E151" s="1173"/>
      <c r="F151" s="1173"/>
      <c r="G151" s="1173"/>
      <c r="H151" s="1173"/>
      <c r="I151" s="1173"/>
      <c r="J151" s="1173"/>
      <c r="K151" s="1173"/>
      <c r="L151" s="1173"/>
      <c r="M151" s="1173"/>
      <c r="N151" s="1173"/>
      <c r="O151" s="1174"/>
    </row>
    <row r="152" spans="1:15" ht="15" thickBot="1" x14ac:dyDescent="0.4">
      <c r="A152" s="1142" t="s">
        <v>0</v>
      </c>
      <c r="B152" s="1168" t="s">
        <v>1</v>
      </c>
      <c r="C152" s="1156"/>
      <c r="D152" s="1156"/>
      <c r="E152" s="1169"/>
      <c r="F152" s="1142" t="s">
        <v>75</v>
      </c>
      <c r="G152" s="1144" t="s">
        <v>76</v>
      </c>
      <c r="H152" s="1142" t="s">
        <v>77</v>
      </c>
      <c r="I152" s="1161" t="s">
        <v>78</v>
      </c>
      <c r="J152" s="1161"/>
      <c r="K152" s="1162"/>
      <c r="L152" s="1162"/>
      <c r="M152" s="1162"/>
      <c r="N152" s="1163"/>
      <c r="O152" s="1150" t="s">
        <v>79</v>
      </c>
    </row>
    <row r="153" spans="1:15" ht="20.5" customHeight="1" thickBot="1" x14ac:dyDescent="0.4">
      <c r="A153" s="1143"/>
      <c r="B153" s="1170"/>
      <c r="C153" s="1159"/>
      <c r="D153" s="1159"/>
      <c r="E153" s="1171"/>
      <c r="F153" s="1143"/>
      <c r="G153" s="1145"/>
      <c r="H153" s="1143"/>
      <c r="I153" s="346" t="s">
        <v>80</v>
      </c>
      <c r="J153" s="307" t="s">
        <v>1464</v>
      </c>
      <c r="K153" s="307" t="s">
        <v>81</v>
      </c>
      <c r="L153" s="307" t="s">
        <v>82</v>
      </c>
      <c r="M153" s="307" t="s">
        <v>83</v>
      </c>
      <c r="N153" s="324" t="s">
        <v>84</v>
      </c>
      <c r="O153" s="1151"/>
    </row>
    <row r="154" spans="1:15" ht="22.5" customHeight="1" thickBot="1" x14ac:dyDescent="0.4">
      <c r="A154" s="804">
        <v>1</v>
      </c>
      <c r="B154" s="1164" t="s">
        <v>1449</v>
      </c>
      <c r="C154" s="1165"/>
      <c r="D154" s="1165"/>
      <c r="E154" s="1166"/>
      <c r="F154" s="805">
        <v>4</v>
      </c>
      <c r="G154" s="806">
        <v>4</v>
      </c>
      <c r="H154" s="807">
        <v>13383</v>
      </c>
      <c r="I154" s="808">
        <f>H154*F154</f>
        <v>53532</v>
      </c>
      <c r="J154" s="321">
        <f>H154*20%</f>
        <v>2676.6000000000004</v>
      </c>
      <c r="K154" s="809">
        <f t="shared" ref="K154" si="103">I154*0.7</f>
        <v>37472.399999999994</v>
      </c>
      <c r="L154" s="809">
        <f t="shared" ref="L154" si="104">(I154+J154+K154)*0.5</f>
        <v>46840.5</v>
      </c>
      <c r="M154" s="809">
        <f>L154</f>
        <v>46840.5</v>
      </c>
      <c r="N154" s="809">
        <f>I154+K154+L154+M154</f>
        <v>184685.4</v>
      </c>
      <c r="O154" s="810">
        <f>N154*12</f>
        <v>2216224.7999999998</v>
      </c>
    </row>
    <row r="155" spans="1:15" ht="15" thickBot="1" x14ac:dyDescent="0.4">
      <c r="A155" s="1047" t="s">
        <v>84</v>
      </c>
      <c r="B155" s="1048"/>
      <c r="C155" s="1048"/>
      <c r="D155" s="1048"/>
      <c r="E155" s="1167"/>
      <c r="F155" s="342">
        <v>4</v>
      </c>
      <c r="G155" s="343"/>
      <c r="H155" s="793">
        <f>SUM(H154)</f>
        <v>13383</v>
      </c>
      <c r="I155" s="793">
        <f t="shared" ref="I155" si="105">SUM(I154)</f>
        <v>53532</v>
      </c>
      <c r="J155" s="793">
        <f t="shared" ref="J155" si="106">SUM(J154)</f>
        <v>2676.6000000000004</v>
      </c>
      <c r="K155" s="793">
        <f t="shared" ref="K155" si="107">SUM(K154)</f>
        <v>37472.399999999994</v>
      </c>
      <c r="L155" s="793">
        <f t="shared" ref="L155" si="108">SUM(L154)</f>
        <v>46840.5</v>
      </c>
      <c r="M155" s="793">
        <f t="shared" ref="M155" si="109">SUM(M154)</f>
        <v>46840.5</v>
      </c>
      <c r="N155" s="793">
        <f t="shared" ref="N155" si="110">SUM(N154)</f>
        <v>184685.4</v>
      </c>
      <c r="O155" s="811">
        <f t="shared" ref="O155" si="111">SUM(O154)</f>
        <v>2216224.7999999998</v>
      </c>
    </row>
    <row r="156" spans="1:15" x14ac:dyDescent="0.35">
      <c r="A156" s="788"/>
      <c r="B156" s="780"/>
      <c r="C156" s="780"/>
      <c r="D156" s="780"/>
      <c r="E156" s="780"/>
      <c r="F156" s="780"/>
      <c r="G156" s="786"/>
      <c r="H156" s="787"/>
      <c r="I156" s="787"/>
      <c r="J156" s="787"/>
      <c r="K156" s="781"/>
      <c r="L156" s="781"/>
      <c r="M156" s="781"/>
      <c r="N156" s="781"/>
      <c r="O156" s="789"/>
    </row>
    <row r="157" spans="1:15" ht="15" thickBot="1" x14ac:dyDescent="0.4">
      <c r="A157" s="790"/>
      <c r="B157" s="791"/>
      <c r="C157" s="290" t="s">
        <v>20</v>
      </c>
      <c r="D157" s="290"/>
      <c r="E157" s="290"/>
      <c r="F157" s="290"/>
      <c r="G157" s="290"/>
      <c r="H157" s="290"/>
      <c r="I157" s="290"/>
      <c r="J157" s="290"/>
      <c r="K157" s="290"/>
      <c r="L157" s="290"/>
      <c r="M157" s="791"/>
      <c r="N157" s="791"/>
      <c r="O157" s="792"/>
    </row>
    <row r="158" spans="1:15" ht="15" thickBot="1" x14ac:dyDescent="0.4">
      <c r="A158" s="1142" t="s">
        <v>0</v>
      </c>
      <c r="B158" s="1168" t="s">
        <v>1</v>
      </c>
      <c r="C158" s="1156"/>
      <c r="D158" s="1156"/>
      <c r="E158" s="1169"/>
      <c r="F158" s="1142" t="s">
        <v>75</v>
      </c>
      <c r="G158" s="1144" t="s">
        <v>76</v>
      </c>
      <c r="H158" s="1142" t="s">
        <v>77</v>
      </c>
      <c r="I158" s="1161" t="s">
        <v>78</v>
      </c>
      <c r="J158" s="1161"/>
      <c r="K158" s="1162"/>
      <c r="L158" s="1162"/>
      <c r="M158" s="1162"/>
      <c r="N158" s="1163"/>
      <c r="O158" s="1150" t="s">
        <v>79</v>
      </c>
    </row>
    <row r="159" spans="1:15" ht="20.5" thickBot="1" x14ac:dyDescent="0.4">
      <c r="A159" s="1143"/>
      <c r="B159" s="1170"/>
      <c r="C159" s="1159"/>
      <c r="D159" s="1159"/>
      <c r="E159" s="1171"/>
      <c r="F159" s="1143"/>
      <c r="G159" s="1145"/>
      <c r="H159" s="1143"/>
      <c r="I159" s="346" t="s">
        <v>80</v>
      </c>
      <c r="J159" s="307" t="s">
        <v>1464</v>
      </c>
      <c r="K159" s="307" t="s">
        <v>81</v>
      </c>
      <c r="L159" s="307" t="s">
        <v>82</v>
      </c>
      <c r="M159" s="307" t="s">
        <v>83</v>
      </c>
      <c r="N159" s="324" t="s">
        <v>84</v>
      </c>
      <c r="O159" s="1151"/>
    </row>
    <row r="160" spans="1:15" x14ac:dyDescent="0.35">
      <c r="A160" s="347">
        <v>1</v>
      </c>
      <c r="B160" s="999" t="s">
        <v>108</v>
      </c>
      <c r="C160" s="1000"/>
      <c r="D160" s="1000"/>
      <c r="E160" s="1000"/>
      <c r="F160" s="348">
        <v>1</v>
      </c>
      <c r="G160" s="762">
        <v>3</v>
      </c>
      <c r="H160" s="328">
        <v>11896</v>
      </c>
      <c r="I160" s="296">
        <f>H160*F160</f>
        <v>11896</v>
      </c>
      <c r="J160" s="297">
        <f t="shared" ref="J160:J173" si="112">H160*20%</f>
        <v>2379.2000000000003</v>
      </c>
      <c r="K160" s="349">
        <f t="shared" ref="K160:K171" si="113">I160*0.7</f>
        <v>8327.1999999999989</v>
      </c>
      <c r="L160" s="297">
        <f t="shared" ref="L160:L173" si="114">(I160+J160+K160)*0.5</f>
        <v>11301.2</v>
      </c>
      <c r="M160" s="297">
        <f>L160</f>
        <v>11301.2</v>
      </c>
      <c r="N160" s="297">
        <f>I160+K160+L160+M160</f>
        <v>42825.599999999999</v>
      </c>
      <c r="O160" s="298">
        <f>N160*12</f>
        <v>513907.19999999995</v>
      </c>
    </row>
    <row r="161" spans="1:15" x14ac:dyDescent="0.35">
      <c r="A161" s="331">
        <v>2</v>
      </c>
      <c r="B161" s="970" t="s">
        <v>21</v>
      </c>
      <c r="C161" s="971"/>
      <c r="D161" s="971"/>
      <c r="E161" s="971"/>
      <c r="F161" s="32">
        <v>1</v>
      </c>
      <c r="G161" s="758">
        <v>3</v>
      </c>
      <c r="H161" s="328">
        <v>11896</v>
      </c>
      <c r="I161" s="296">
        <f>H161*F161</f>
        <v>11896</v>
      </c>
      <c r="J161" s="297">
        <f t="shared" si="112"/>
        <v>2379.2000000000003</v>
      </c>
      <c r="K161" s="313">
        <f t="shared" si="113"/>
        <v>8327.1999999999989</v>
      </c>
      <c r="L161" s="297">
        <f t="shared" si="114"/>
        <v>11301.2</v>
      </c>
      <c r="M161" s="313">
        <f t="shared" ref="M161:M173" si="115">L161</f>
        <v>11301.2</v>
      </c>
      <c r="N161" s="313">
        <f t="shared" ref="N161:N173" si="116">I161+K161+L161+M161</f>
        <v>42825.599999999999</v>
      </c>
      <c r="O161" s="350">
        <f t="shared" ref="O161:O173" si="117">N161*12</f>
        <v>513907.19999999995</v>
      </c>
    </row>
    <row r="162" spans="1:15" x14ac:dyDescent="0.35">
      <c r="A162" s="331">
        <v>3</v>
      </c>
      <c r="B162" s="970" t="s">
        <v>1104</v>
      </c>
      <c r="C162" s="971"/>
      <c r="D162" s="971"/>
      <c r="E162" s="971"/>
      <c r="F162" s="32">
        <v>1</v>
      </c>
      <c r="G162" s="302">
        <v>5</v>
      </c>
      <c r="H162" s="332">
        <v>15149</v>
      </c>
      <c r="I162" s="296">
        <f>H162*F162</f>
        <v>15149</v>
      </c>
      <c r="J162" s="297">
        <f t="shared" si="112"/>
        <v>3029.8</v>
      </c>
      <c r="K162" s="313">
        <f t="shared" si="113"/>
        <v>10604.3</v>
      </c>
      <c r="L162" s="297">
        <f t="shared" si="114"/>
        <v>14391.55</v>
      </c>
      <c r="M162" s="313">
        <f t="shared" si="115"/>
        <v>14391.55</v>
      </c>
      <c r="N162" s="313">
        <f t="shared" si="116"/>
        <v>54536.399999999994</v>
      </c>
      <c r="O162" s="350">
        <f t="shared" si="117"/>
        <v>654436.79999999993</v>
      </c>
    </row>
    <row r="163" spans="1:15" x14ac:dyDescent="0.35">
      <c r="A163" s="331">
        <v>4</v>
      </c>
      <c r="B163" s="970" t="s">
        <v>1105</v>
      </c>
      <c r="C163" s="971"/>
      <c r="D163" s="971"/>
      <c r="E163" s="971"/>
      <c r="F163" s="32">
        <v>1</v>
      </c>
      <c r="G163" s="302">
        <v>5</v>
      </c>
      <c r="H163" s="332">
        <v>15149</v>
      </c>
      <c r="I163" s="296">
        <f t="shared" ref="I163:I170" si="118">F163*H163</f>
        <v>15149</v>
      </c>
      <c r="J163" s="297">
        <f t="shared" si="112"/>
        <v>3029.8</v>
      </c>
      <c r="K163" s="313">
        <f t="shared" si="113"/>
        <v>10604.3</v>
      </c>
      <c r="L163" s="297">
        <f t="shared" si="114"/>
        <v>14391.55</v>
      </c>
      <c r="M163" s="313">
        <f t="shared" si="115"/>
        <v>14391.55</v>
      </c>
      <c r="N163" s="313">
        <f t="shared" si="116"/>
        <v>54536.399999999994</v>
      </c>
      <c r="O163" s="350">
        <f t="shared" si="117"/>
        <v>654436.79999999993</v>
      </c>
    </row>
    <row r="164" spans="1:15" x14ac:dyDescent="0.35">
      <c r="A164" s="331">
        <v>5</v>
      </c>
      <c r="B164" s="970" t="s">
        <v>22</v>
      </c>
      <c r="C164" s="971"/>
      <c r="D164" s="971"/>
      <c r="E164" s="971"/>
      <c r="F164" s="32">
        <v>1</v>
      </c>
      <c r="G164" s="302">
        <v>4</v>
      </c>
      <c r="H164" s="311">
        <v>13383</v>
      </c>
      <c r="I164" s="296">
        <f t="shared" si="118"/>
        <v>13383</v>
      </c>
      <c r="J164" s="297">
        <f t="shared" si="112"/>
        <v>2676.6000000000004</v>
      </c>
      <c r="K164" s="351">
        <f t="shared" si="113"/>
        <v>9368.0999999999985</v>
      </c>
      <c r="L164" s="297">
        <f t="shared" si="114"/>
        <v>12713.849999999999</v>
      </c>
      <c r="M164" s="351">
        <f t="shared" si="115"/>
        <v>12713.849999999999</v>
      </c>
      <c r="N164" s="351">
        <f t="shared" si="116"/>
        <v>48178.799999999996</v>
      </c>
      <c r="O164" s="352">
        <f t="shared" si="117"/>
        <v>578145.6</v>
      </c>
    </row>
    <row r="165" spans="1:15" x14ac:dyDescent="0.35">
      <c r="A165" s="331">
        <v>6</v>
      </c>
      <c r="B165" s="970" t="s">
        <v>889</v>
      </c>
      <c r="C165" s="971"/>
      <c r="D165" s="971"/>
      <c r="E165" s="971"/>
      <c r="F165" s="32">
        <v>1</v>
      </c>
      <c r="G165" s="775">
        <v>4</v>
      </c>
      <c r="H165" s="311">
        <v>13383</v>
      </c>
      <c r="I165" s="296">
        <f t="shared" si="118"/>
        <v>13383</v>
      </c>
      <c r="J165" s="297">
        <f t="shared" si="112"/>
        <v>2676.6000000000004</v>
      </c>
      <c r="K165" s="351">
        <f t="shared" si="113"/>
        <v>9368.0999999999985</v>
      </c>
      <c r="L165" s="297">
        <f t="shared" si="114"/>
        <v>12713.849999999999</v>
      </c>
      <c r="M165" s="351">
        <f t="shared" si="115"/>
        <v>12713.849999999999</v>
      </c>
      <c r="N165" s="351">
        <f t="shared" si="116"/>
        <v>48178.799999999996</v>
      </c>
      <c r="O165" s="352">
        <f t="shared" si="117"/>
        <v>578145.6</v>
      </c>
    </row>
    <row r="166" spans="1:15" x14ac:dyDescent="0.35">
      <c r="A166" s="331">
        <v>7</v>
      </c>
      <c r="B166" s="759" t="s">
        <v>1339</v>
      </c>
      <c r="C166" s="760"/>
      <c r="D166" s="760"/>
      <c r="E166" s="760"/>
      <c r="F166" s="32">
        <v>1</v>
      </c>
      <c r="G166" s="775">
        <v>4</v>
      </c>
      <c r="H166" s="332">
        <v>13383</v>
      </c>
      <c r="I166" s="296">
        <f t="shared" si="118"/>
        <v>13383</v>
      </c>
      <c r="J166" s="297">
        <f t="shared" si="112"/>
        <v>2676.6000000000004</v>
      </c>
      <c r="K166" s="351">
        <f t="shared" si="113"/>
        <v>9368.0999999999985</v>
      </c>
      <c r="L166" s="297">
        <f t="shared" si="114"/>
        <v>12713.849999999999</v>
      </c>
      <c r="M166" s="351">
        <f t="shared" si="115"/>
        <v>12713.849999999999</v>
      </c>
      <c r="N166" s="351">
        <f t="shared" si="116"/>
        <v>48178.799999999996</v>
      </c>
      <c r="O166" s="352">
        <f t="shared" si="117"/>
        <v>578145.6</v>
      </c>
    </row>
    <row r="167" spans="1:15" x14ac:dyDescent="0.35">
      <c r="A167" s="331">
        <v>8</v>
      </c>
      <c r="B167" s="759" t="s">
        <v>890</v>
      </c>
      <c r="C167" s="760"/>
      <c r="D167" s="760"/>
      <c r="E167" s="760"/>
      <c r="F167" s="32">
        <v>1</v>
      </c>
      <c r="G167" s="775">
        <v>4</v>
      </c>
      <c r="H167" s="311">
        <v>13383</v>
      </c>
      <c r="I167" s="296">
        <f t="shared" si="118"/>
        <v>13383</v>
      </c>
      <c r="J167" s="297">
        <f t="shared" si="112"/>
        <v>2676.6000000000004</v>
      </c>
      <c r="K167" s="351">
        <f t="shared" si="113"/>
        <v>9368.0999999999985</v>
      </c>
      <c r="L167" s="297">
        <f t="shared" si="114"/>
        <v>12713.849999999999</v>
      </c>
      <c r="M167" s="351">
        <f t="shared" si="115"/>
        <v>12713.849999999999</v>
      </c>
      <c r="N167" s="351">
        <f t="shared" si="116"/>
        <v>48178.799999999996</v>
      </c>
      <c r="O167" s="352">
        <f t="shared" si="117"/>
        <v>578145.6</v>
      </c>
    </row>
    <row r="168" spans="1:15" x14ac:dyDescent="0.35">
      <c r="A168" s="331">
        <v>9</v>
      </c>
      <c r="B168" s="970" t="s">
        <v>1106</v>
      </c>
      <c r="C168" s="971"/>
      <c r="D168" s="971"/>
      <c r="E168" s="971"/>
      <c r="F168" s="32">
        <v>1</v>
      </c>
      <c r="G168" s="758">
        <v>5</v>
      </c>
      <c r="H168" s="332">
        <v>15149</v>
      </c>
      <c r="I168" s="296">
        <f t="shared" si="118"/>
        <v>15149</v>
      </c>
      <c r="J168" s="297">
        <f t="shared" si="112"/>
        <v>3029.8</v>
      </c>
      <c r="K168" s="313">
        <f t="shared" si="113"/>
        <v>10604.3</v>
      </c>
      <c r="L168" s="297">
        <f t="shared" si="114"/>
        <v>14391.55</v>
      </c>
      <c r="M168" s="313">
        <f t="shared" si="115"/>
        <v>14391.55</v>
      </c>
      <c r="N168" s="313">
        <f t="shared" si="116"/>
        <v>54536.399999999994</v>
      </c>
      <c r="O168" s="350">
        <f t="shared" si="117"/>
        <v>654436.79999999993</v>
      </c>
    </row>
    <row r="169" spans="1:15" x14ac:dyDescent="0.35">
      <c r="A169" s="331">
        <v>10</v>
      </c>
      <c r="B169" s="970" t="s">
        <v>23</v>
      </c>
      <c r="C169" s="971"/>
      <c r="D169" s="971"/>
      <c r="E169" s="971"/>
      <c r="F169" s="32">
        <v>1</v>
      </c>
      <c r="G169" s="302">
        <v>4</v>
      </c>
      <c r="H169" s="311">
        <v>13383</v>
      </c>
      <c r="I169" s="296">
        <f t="shared" si="118"/>
        <v>13383</v>
      </c>
      <c r="J169" s="297">
        <f t="shared" si="112"/>
        <v>2676.6000000000004</v>
      </c>
      <c r="K169" s="313">
        <f t="shared" si="113"/>
        <v>9368.0999999999985</v>
      </c>
      <c r="L169" s="297">
        <f t="shared" si="114"/>
        <v>12713.849999999999</v>
      </c>
      <c r="M169" s="313">
        <f t="shared" si="115"/>
        <v>12713.849999999999</v>
      </c>
      <c r="N169" s="313">
        <f t="shared" si="116"/>
        <v>48178.799999999996</v>
      </c>
      <c r="O169" s="350">
        <f t="shared" si="117"/>
        <v>578145.6</v>
      </c>
    </row>
    <row r="170" spans="1:15" x14ac:dyDescent="0.35">
      <c r="A170" s="331">
        <v>11</v>
      </c>
      <c r="B170" s="970" t="s">
        <v>24</v>
      </c>
      <c r="C170" s="971"/>
      <c r="D170" s="971"/>
      <c r="E170" s="971"/>
      <c r="F170" s="32">
        <v>1</v>
      </c>
      <c r="G170" s="302">
        <v>5</v>
      </c>
      <c r="H170" s="332">
        <v>15149</v>
      </c>
      <c r="I170" s="296">
        <f t="shared" si="118"/>
        <v>15149</v>
      </c>
      <c r="J170" s="297">
        <f t="shared" si="112"/>
        <v>3029.8</v>
      </c>
      <c r="K170" s="351">
        <f t="shared" si="113"/>
        <v>10604.3</v>
      </c>
      <c r="L170" s="297">
        <f t="shared" si="114"/>
        <v>14391.55</v>
      </c>
      <c r="M170" s="351">
        <f t="shared" si="115"/>
        <v>14391.55</v>
      </c>
      <c r="N170" s="351">
        <f t="shared" si="116"/>
        <v>54536.399999999994</v>
      </c>
      <c r="O170" s="352">
        <f t="shared" si="117"/>
        <v>654436.79999999993</v>
      </c>
    </row>
    <row r="171" spans="1:15" x14ac:dyDescent="0.35">
      <c r="A171" s="331">
        <v>12</v>
      </c>
      <c r="B171" s="970" t="s">
        <v>1455</v>
      </c>
      <c r="C171" s="971"/>
      <c r="D171" s="971"/>
      <c r="E171" s="971"/>
      <c r="F171" s="32">
        <v>3</v>
      </c>
      <c r="G171" s="302">
        <v>4</v>
      </c>
      <c r="H171" s="311">
        <v>13383</v>
      </c>
      <c r="I171" s="296">
        <f>F171*H171</f>
        <v>40149</v>
      </c>
      <c r="J171" s="297">
        <f t="shared" si="112"/>
        <v>2676.6000000000004</v>
      </c>
      <c r="K171" s="313">
        <f t="shared" si="113"/>
        <v>28104.3</v>
      </c>
      <c r="L171" s="297">
        <f t="shared" si="114"/>
        <v>35464.949999999997</v>
      </c>
      <c r="M171" s="313">
        <f t="shared" si="115"/>
        <v>35464.949999999997</v>
      </c>
      <c r="N171" s="313">
        <f t="shared" si="116"/>
        <v>139183.20000000001</v>
      </c>
      <c r="O171" s="350">
        <f t="shared" si="117"/>
        <v>1670198.4000000001</v>
      </c>
    </row>
    <row r="172" spans="1:15" x14ac:dyDescent="0.35">
      <c r="A172" s="331">
        <v>13</v>
      </c>
      <c r="B172" s="970" t="s">
        <v>1456</v>
      </c>
      <c r="C172" s="971"/>
      <c r="D172" s="971"/>
      <c r="E172" s="971"/>
      <c r="F172" s="32">
        <v>3</v>
      </c>
      <c r="G172" s="32">
        <v>4</v>
      </c>
      <c r="H172" s="311">
        <v>13383</v>
      </c>
      <c r="I172" s="39">
        <f>F172*H172</f>
        <v>40149</v>
      </c>
      <c r="J172" s="297">
        <f t="shared" si="112"/>
        <v>2676.6000000000004</v>
      </c>
      <c r="K172" s="39">
        <f>I172*0.75</f>
        <v>30111.75</v>
      </c>
      <c r="L172" s="297">
        <f t="shared" si="114"/>
        <v>36468.675000000003</v>
      </c>
      <c r="M172" s="313">
        <f t="shared" si="115"/>
        <v>36468.675000000003</v>
      </c>
      <c r="N172" s="313">
        <f t="shared" si="116"/>
        <v>143198.1</v>
      </c>
      <c r="O172" s="313">
        <f t="shared" si="117"/>
        <v>1718377.2000000002</v>
      </c>
    </row>
    <row r="173" spans="1:15" ht="15" thickBot="1" x14ac:dyDescent="0.4">
      <c r="A173" s="331">
        <v>14</v>
      </c>
      <c r="B173" s="970" t="s">
        <v>17</v>
      </c>
      <c r="C173" s="971"/>
      <c r="D173" s="971"/>
      <c r="E173" s="971"/>
      <c r="F173" s="32">
        <v>1</v>
      </c>
      <c r="G173" s="32">
        <v>9</v>
      </c>
      <c r="H173" s="311">
        <v>24722</v>
      </c>
      <c r="I173" s="39">
        <f>F173*H173</f>
        <v>24722</v>
      </c>
      <c r="J173" s="297">
        <f t="shared" si="112"/>
        <v>4944.4000000000005</v>
      </c>
      <c r="K173" s="39">
        <f>I173*0.75</f>
        <v>18541.5</v>
      </c>
      <c r="L173" s="297">
        <f t="shared" si="114"/>
        <v>24103.95</v>
      </c>
      <c r="M173" s="313">
        <f t="shared" si="115"/>
        <v>24103.95</v>
      </c>
      <c r="N173" s="313">
        <f t="shared" si="116"/>
        <v>91471.4</v>
      </c>
      <c r="O173" s="313">
        <f t="shared" si="117"/>
        <v>1097656.7999999998</v>
      </c>
    </row>
    <row r="174" spans="1:15" ht="15" thickBot="1" x14ac:dyDescent="0.4">
      <c r="A174" s="1047" t="s">
        <v>84</v>
      </c>
      <c r="B174" s="1048"/>
      <c r="C174" s="1048"/>
      <c r="D174" s="1048"/>
      <c r="E174" s="1049"/>
      <c r="F174" s="303">
        <f>SUM(F160:F173)</f>
        <v>18</v>
      </c>
      <c r="G174" s="353"/>
      <c r="H174" s="305">
        <f t="shared" ref="H174" si="119">SUM(H160:H173)</f>
        <v>202791</v>
      </c>
      <c r="I174" s="305">
        <f t="shared" ref="I174" si="120">SUM(I160:I173)</f>
        <v>256323</v>
      </c>
      <c r="J174" s="305">
        <f t="shared" ref="J174" si="121">SUM(J160:J173)</f>
        <v>40558.200000000004</v>
      </c>
      <c r="K174" s="305">
        <f>SUM(K160:K173)</f>
        <v>182669.65</v>
      </c>
      <c r="L174" s="305">
        <f>SUM(L160:L173)</f>
        <v>239775.42499999999</v>
      </c>
      <c r="M174" s="305">
        <f>SUM(M160:M173)</f>
        <v>239775.42499999999</v>
      </c>
      <c r="N174" s="305">
        <f>SUM(N160:N173)</f>
        <v>918543.5</v>
      </c>
      <c r="O174" s="322">
        <f>SUM(O160:O173)</f>
        <v>11022522</v>
      </c>
    </row>
    <row r="175" spans="1:15" ht="15" thickBot="1" x14ac:dyDescent="0.4">
      <c r="A175" s="289"/>
      <c r="B175" s="289"/>
      <c r="C175" s="306" t="s">
        <v>25</v>
      </c>
      <c r="D175" s="306"/>
      <c r="E175" s="306"/>
      <c r="F175" s="306"/>
      <c r="G175" s="306"/>
      <c r="H175" s="306"/>
      <c r="I175" s="306"/>
      <c r="J175" s="306"/>
      <c r="K175" s="306"/>
      <c r="L175" s="306"/>
      <c r="M175" s="289"/>
      <c r="N175" s="289"/>
      <c r="O175" s="289"/>
    </row>
    <row r="176" spans="1:15" ht="15" thickBot="1" x14ac:dyDescent="0.4">
      <c r="A176" s="1153" t="s">
        <v>0</v>
      </c>
      <c r="B176" s="1155" t="s">
        <v>1</v>
      </c>
      <c r="C176" s="1156"/>
      <c r="D176" s="1156"/>
      <c r="E176" s="1157"/>
      <c r="F176" s="1144" t="s">
        <v>75</v>
      </c>
      <c r="G176" s="1142" t="s">
        <v>76</v>
      </c>
      <c r="H176" s="1144" t="s">
        <v>77</v>
      </c>
      <c r="I176" s="1146" t="s">
        <v>78</v>
      </c>
      <c r="J176" s="1147"/>
      <c r="K176" s="1148"/>
      <c r="L176" s="1148"/>
      <c r="M176" s="1148"/>
      <c r="N176" s="1149"/>
      <c r="O176" s="1150" t="s">
        <v>79</v>
      </c>
    </row>
    <row r="177" spans="1:15" ht="20.5" thickBot="1" x14ac:dyDescent="0.4">
      <c r="A177" s="1154"/>
      <c r="B177" s="1158"/>
      <c r="C177" s="1159"/>
      <c r="D177" s="1159"/>
      <c r="E177" s="1160"/>
      <c r="F177" s="1145"/>
      <c r="G177" s="1143"/>
      <c r="H177" s="1145"/>
      <c r="I177" s="307" t="s">
        <v>80</v>
      </c>
      <c r="J177" s="307" t="s">
        <v>1464</v>
      </c>
      <c r="K177" s="354" t="s">
        <v>81</v>
      </c>
      <c r="L177" s="292" t="s">
        <v>82</v>
      </c>
      <c r="M177" s="771" t="s">
        <v>83</v>
      </c>
      <c r="N177" s="292" t="s">
        <v>84</v>
      </c>
      <c r="O177" s="1151"/>
    </row>
    <row r="178" spans="1:15" x14ac:dyDescent="0.35">
      <c r="A178" s="308">
        <v>1</v>
      </c>
      <c r="B178" s="1152" t="s">
        <v>33</v>
      </c>
      <c r="C178" s="1152"/>
      <c r="D178" s="1152"/>
      <c r="E178" s="1152"/>
      <c r="F178" s="355">
        <v>1</v>
      </c>
      <c r="G178" s="768">
        <v>1</v>
      </c>
      <c r="H178" s="768">
        <v>9294</v>
      </c>
      <c r="I178" s="296">
        <f>F178*H178</f>
        <v>9294</v>
      </c>
      <c r="J178" s="297">
        <f t="shared" ref="J178:J181" si="122">H178*20%</f>
        <v>1858.8000000000002</v>
      </c>
      <c r="K178" s="297">
        <f>I178*0.4</f>
        <v>3717.6000000000004</v>
      </c>
      <c r="L178" s="297">
        <f t="shared" ref="L178:L181" si="123">(I178+J178+K178)*0.5</f>
        <v>7435.2</v>
      </c>
      <c r="M178" s="297">
        <f>L178</f>
        <v>7435.2</v>
      </c>
      <c r="N178" s="297">
        <f>I178+K178+L178+M178</f>
        <v>27882</v>
      </c>
      <c r="O178" s="298">
        <f>N178*12</f>
        <v>334584</v>
      </c>
    </row>
    <row r="179" spans="1:15" x14ac:dyDescent="0.35">
      <c r="A179" s="356">
        <v>2</v>
      </c>
      <c r="B179" s="983" t="s">
        <v>27</v>
      </c>
      <c r="C179" s="984"/>
      <c r="D179" s="984"/>
      <c r="E179" s="984"/>
      <c r="F179" s="33">
        <v>2</v>
      </c>
      <c r="G179" s="758">
        <v>1</v>
      </c>
      <c r="H179" s="768">
        <v>9294</v>
      </c>
      <c r="I179" s="296">
        <f>F179*H179</f>
        <v>18588</v>
      </c>
      <c r="J179" s="297">
        <f t="shared" si="122"/>
        <v>1858.8000000000002</v>
      </c>
      <c r="K179" s="297">
        <f>I179*0.4</f>
        <v>7435.2000000000007</v>
      </c>
      <c r="L179" s="297">
        <f t="shared" si="123"/>
        <v>13941</v>
      </c>
      <c r="M179" s="297">
        <f>L179</f>
        <v>13941</v>
      </c>
      <c r="N179" s="297">
        <f>I179+K179+L179+M179</f>
        <v>53905.2</v>
      </c>
      <c r="O179" s="298">
        <f>N179*12</f>
        <v>646862.39999999991</v>
      </c>
    </row>
    <row r="180" spans="1:15" x14ac:dyDescent="0.35">
      <c r="A180" s="331">
        <v>3</v>
      </c>
      <c r="B180" s="970" t="s">
        <v>29</v>
      </c>
      <c r="C180" s="971"/>
      <c r="D180" s="971"/>
      <c r="E180" s="971"/>
      <c r="F180" s="32">
        <v>1</v>
      </c>
      <c r="G180" s="758">
        <v>2</v>
      </c>
      <c r="H180" s="758">
        <v>10502</v>
      </c>
      <c r="I180" s="296">
        <f>F180*H180</f>
        <v>10502</v>
      </c>
      <c r="J180" s="297">
        <f t="shared" si="122"/>
        <v>2100.4</v>
      </c>
      <c r="K180" s="313">
        <f>I180*0.6</f>
        <v>6301.2</v>
      </c>
      <c r="L180" s="297">
        <f t="shared" si="123"/>
        <v>9451.7999999999993</v>
      </c>
      <c r="M180" s="313">
        <f>L180</f>
        <v>9451.7999999999993</v>
      </c>
      <c r="N180" s="313">
        <f>I180+K180+L180+M180</f>
        <v>35706.800000000003</v>
      </c>
      <c r="O180" s="350">
        <f>N180*12</f>
        <v>428481.60000000003</v>
      </c>
    </row>
    <row r="181" spans="1:15" ht="15" thickBot="1" x14ac:dyDescent="0.4">
      <c r="A181" s="357">
        <v>4</v>
      </c>
      <c r="B181" s="963" t="s">
        <v>31</v>
      </c>
      <c r="C181" s="964"/>
      <c r="D181" s="964"/>
      <c r="E181" s="964"/>
      <c r="F181" s="334">
        <v>4</v>
      </c>
      <c r="G181" s="40">
        <v>1</v>
      </c>
      <c r="H181" s="768">
        <v>9294</v>
      </c>
      <c r="I181" s="320">
        <f>F181*H181</f>
        <v>37176</v>
      </c>
      <c r="J181" s="297">
        <f t="shared" si="122"/>
        <v>1858.8000000000002</v>
      </c>
      <c r="K181" s="351">
        <f>I181*0.4</f>
        <v>14870.400000000001</v>
      </c>
      <c r="L181" s="297">
        <f t="shared" si="123"/>
        <v>26952.600000000002</v>
      </c>
      <c r="M181" s="351">
        <f>L181</f>
        <v>26952.600000000002</v>
      </c>
      <c r="N181" s="351">
        <f>I181+K181+L181+M181</f>
        <v>105951.6</v>
      </c>
      <c r="O181" s="352">
        <f>N181*12</f>
        <v>1271419.2000000002</v>
      </c>
    </row>
    <row r="182" spans="1:15" ht="15" thickBot="1" x14ac:dyDescent="0.4">
      <c r="A182" s="1047" t="s">
        <v>84</v>
      </c>
      <c r="B182" s="1048"/>
      <c r="C182" s="1048"/>
      <c r="D182" s="1048"/>
      <c r="E182" s="1049"/>
      <c r="F182" s="303">
        <f>SUM(F178:F181)</f>
        <v>8</v>
      </c>
      <c r="G182" s="304"/>
      <c r="H182" s="305">
        <f t="shared" ref="H182" si="124">SUM(H178:H181)</f>
        <v>38384</v>
      </c>
      <c r="I182" s="305">
        <f t="shared" ref="I182" si="125">SUM(I178:I181)</f>
        <v>75560</v>
      </c>
      <c r="J182" s="305">
        <f t="shared" ref="J182" si="126">SUM(J178:J181)</f>
        <v>7676.8</v>
      </c>
      <c r="K182" s="305">
        <f>SUM(K178:K181)</f>
        <v>32324.400000000001</v>
      </c>
      <c r="L182" s="305">
        <f>SUM(L178:L181)</f>
        <v>57780.600000000006</v>
      </c>
      <c r="M182" s="305">
        <f>SUM(M178:M181)</f>
        <v>57780.600000000006</v>
      </c>
      <c r="N182" s="305">
        <f>SUM(N178:N181)</f>
        <v>223445.6</v>
      </c>
      <c r="O182" s="322">
        <f>SUM(O178:O181)</f>
        <v>2681347.2000000002</v>
      </c>
    </row>
    <row r="183" spans="1:15" x14ac:dyDescent="0.35">
      <c r="A183" s="566" t="s">
        <v>87</v>
      </c>
      <c r="B183" s="566"/>
      <c r="C183" s="566"/>
      <c r="D183" s="566"/>
      <c r="E183" s="289"/>
      <c r="F183" s="568">
        <f>F121+F133+F149+F174+F182+F155</f>
        <v>96</v>
      </c>
      <c r="G183" s="567"/>
      <c r="H183" s="568"/>
      <c r="I183" s="567"/>
      <c r="J183" s="567"/>
      <c r="K183" s="567"/>
      <c r="L183" s="567"/>
      <c r="M183" s="567"/>
      <c r="N183" s="567"/>
      <c r="O183" s="568">
        <f>O121+O133+O149+O174+O182+O155</f>
        <v>61961680.799999997</v>
      </c>
    </row>
    <row r="184" spans="1:15" x14ac:dyDescent="0.3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x14ac:dyDescent="0.35">
      <c r="A185" s="41" t="s">
        <v>885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</row>
    <row r="191" spans="1:15" x14ac:dyDescent="0.35">
      <c r="A191" s="284"/>
      <c r="B191" s="284"/>
      <c r="C191" s="285"/>
      <c r="D191" s="285"/>
      <c r="E191" s="285"/>
      <c r="F191" s="285"/>
      <c r="G191" s="184"/>
      <c r="H191" s="184"/>
      <c r="I191" s="184"/>
      <c r="J191" s="184"/>
      <c r="K191" s="184"/>
      <c r="L191" s="43" t="s">
        <v>88</v>
      </c>
      <c r="M191" s="44"/>
      <c r="N191" s="44"/>
      <c r="O191" s="285"/>
    </row>
    <row r="192" spans="1:15" x14ac:dyDescent="0.35">
      <c r="A192" s="285"/>
      <c r="B192" s="285"/>
      <c r="C192" s="285"/>
      <c r="D192" s="285"/>
      <c r="E192" s="285"/>
      <c r="F192" s="285"/>
      <c r="G192" s="184"/>
      <c r="H192" s="184"/>
      <c r="I192" s="184"/>
      <c r="J192" s="184"/>
      <c r="K192" s="184"/>
      <c r="L192" s="44" t="s">
        <v>89</v>
      </c>
      <c r="M192" s="44"/>
      <c r="N192" s="44"/>
      <c r="O192" s="285"/>
    </row>
    <row r="193" spans="1:15" x14ac:dyDescent="0.35">
      <c r="A193" s="44"/>
      <c r="B193" s="44"/>
      <c r="C193" s="44"/>
      <c r="D193" s="44"/>
      <c r="E193" s="44"/>
      <c r="F193" s="44"/>
      <c r="G193" s="286"/>
      <c r="H193" s="286"/>
      <c r="I193" s="286"/>
      <c r="J193" s="286"/>
      <c r="K193" s="286"/>
      <c r="L193" s="44" t="s">
        <v>90</v>
      </c>
      <c r="M193" s="44"/>
      <c r="N193" s="44"/>
      <c r="O193" s="285"/>
    </row>
    <row r="194" spans="1:15" x14ac:dyDescent="0.35">
      <c r="A194" s="44"/>
      <c r="B194" s="44"/>
      <c r="C194" s="44"/>
      <c r="D194" s="44"/>
      <c r="E194" s="44"/>
      <c r="F194" s="44"/>
      <c r="G194" s="286"/>
      <c r="H194" s="286"/>
      <c r="I194" s="286"/>
      <c r="J194" s="286"/>
      <c r="K194" s="286"/>
      <c r="L194" s="44" t="s">
        <v>964</v>
      </c>
      <c r="M194" s="44"/>
      <c r="N194" s="44"/>
      <c r="O194" s="285"/>
    </row>
    <row r="195" spans="1:15" x14ac:dyDescent="0.35">
      <c r="A195" s="1186" t="s">
        <v>1467</v>
      </c>
      <c r="B195" s="1186"/>
      <c r="C195" s="1186"/>
      <c r="D195" s="1186"/>
      <c r="E195" s="1186"/>
      <c r="F195" s="1186"/>
      <c r="G195" s="1186"/>
      <c r="H195" s="1186"/>
      <c r="I195" s="1186"/>
      <c r="J195" s="1186"/>
      <c r="K195" s="1186"/>
      <c r="L195" s="1186"/>
      <c r="M195" s="1186"/>
      <c r="N195" s="1186"/>
      <c r="O195" s="1186"/>
    </row>
    <row r="196" spans="1:15" x14ac:dyDescent="0.35">
      <c r="A196" s="287"/>
      <c r="B196" s="287" t="s">
        <v>1344</v>
      </c>
      <c r="C196" s="287"/>
      <c r="D196" s="287"/>
      <c r="E196" s="287"/>
      <c r="F196" s="288"/>
      <c r="G196" s="288"/>
      <c r="H196" s="288"/>
      <c r="I196" s="288"/>
      <c r="J196" s="288"/>
      <c r="K196" s="288"/>
      <c r="L196" s="288"/>
      <c r="M196" s="288"/>
      <c r="N196" s="288"/>
      <c r="O196" s="286"/>
    </row>
    <row r="197" spans="1:15" ht="15" thickBot="1" x14ac:dyDescent="0.4">
      <c r="A197" s="289"/>
      <c r="B197" s="289"/>
      <c r="C197" s="290" t="s">
        <v>6</v>
      </c>
      <c r="D197" s="290"/>
      <c r="E197" s="290"/>
      <c r="F197" s="290"/>
      <c r="G197" s="290"/>
      <c r="H197" s="290"/>
      <c r="I197" s="290"/>
      <c r="J197" s="290"/>
      <c r="K197" s="290"/>
      <c r="L197" s="290"/>
      <c r="M197" s="289"/>
      <c r="N197" s="289"/>
      <c r="O197" s="289"/>
    </row>
    <row r="198" spans="1:15" ht="15" thickBot="1" x14ac:dyDescent="0.4">
      <c r="A198" s="1153" t="s">
        <v>0</v>
      </c>
      <c r="B198" s="1155" t="s">
        <v>1</v>
      </c>
      <c r="C198" s="1156"/>
      <c r="D198" s="1156"/>
      <c r="E198" s="1157"/>
      <c r="F198" s="1144" t="s">
        <v>75</v>
      </c>
      <c r="G198" s="1142" t="s">
        <v>76</v>
      </c>
      <c r="H198" s="1144" t="s">
        <v>77</v>
      </c>
      <c r="I198" s="1146" t="s">
        <v>78</v>
      </c>
      <c r="J198" s="1161"/>
      <c r="K198" s="1148"/>
      <c r="L198" s="1148"/>
      <c r="M198" s="1148"/>
      <c r="N198" s="1149"/>
      <c r="O198" s="1150" t="s">
        <v>79</v>
      </c>
    </row>
    <row r="199" spans="1:15" ht="20.5" thickBot="1" x14ac:dyDescent="0.4">
      <c r="A199" s="1154"/>
      <c r="B199" s="1158"/>
      <c r="C199" s="1159"/>
      <c r="D199" s="1159"/>
      <c r="E199" s="1160"/>
      <c r="F199" s="1145"/>
      <c r="G199" s="1143"/>
      <c r="H199" s="1145"/>
      <c r="I199" s="725" t="s">
        <v>80</v>
      </c>
      <c r="J199" s="307" t="s">
        <v>1468</v>
      </c>
      <c r="K199" s="292" t="s">
        <v>81</v>
      </c>
      <c r="L199" s="771" t="s">
        <v>82</v>
      </c>
      <c r="M199" s="292" t="s">
        <v>83</v>
      </c>
      <c r="N199" s="771" t="s">
        <v>84</v>
      </c>
      <c r="O199" s="1151"/>
    </row>
    <row r="200" spans="1:15" x14ac:dyDescent="0.35">
      <c r="A200" s="293" t="s">
        <v>26</v>
      </c>
      <c r="B200" s="1027" t="s">
        <v>38</v>
      </c>
      <c r="C200" s="1028"/>
      <c r="D200" s="1028"/>
      <c r="E200" s="1028"/>
      <c r="F200" s="294">
        <v>1</v>
      </c>
      <c r="G200" s="773">
        <v>16</v>
      </c>
      <c r="H200" s="296">
        <v>50838</v>
      </c>
      <c r="I200" s="296">
        <f>H200</f>
        <v>50838</v>
      </c>
      <c r="J200" s="297">
        <f>H200*25%</f>
        <v>12709.5</v>
      </c>
      <c r="K200" s="297">
        <f>I200*0.7</f>
        <v>35586.6</v>
      </c>
      <c r="L200" s="297">
        <f>(I200+J200+K200)*0.5</f>
        <v>49567.05</v>
      </c>
      <c r="M200" s="297">
        <f t="shared" ref="M200:M215" si="127">L200</f>
        <v>49567.05</v>
      </c>
      <c r="N200" s="297">
        <f t="shared" ref="N200:N215" si="128">I200+K200+L200+M200</f>
        <v>185558.7</v>
      </c>
      <c r="O200" s="298">
        <f>N200*12</f>
        <v>2226704.4000000004</v>
      </c>
    </row>
    <row r="201" spans="1:15" x14ac:dyDescent="0.35">
      <c r="A201" s="299">
        <v>2</v>
      </c>
      <c r="B201" s="1027" t="s">
        <v>8</v>
      </c>
      <c r="C201" s="1028"/>
      <c r="D201" s="1028"/>
      <c r="E201" s="1028"/>
      <c r="F201" s="294">
        <v>1</v>
      </c>
      <c r="G201" s="773">
        <v>15</v>
      </c>
      <c r="H201" s="296">
        <v>45448</v>
      </c>
      <c r="I201" s="296">
        <f>H201</f>
        <v>45448</v>
      </c>
      <c r="J201" s="297">
        <f t="shared" ref="J201:J215" si="129">H201*25%</f>
        <v>11362</v>
      </c>
      <c r="K201" s="297">
        <f>I201*0.7</f>
        <v>31813.599999999999</v>
      </c>
      <c r="L201" s="297">
        <f t="shared" ref="L201:L215" si="130">(I201+J201+K201)*0.5</f>
        <v>44311.8</v>
      </c>
      <c r="M201" s="297">
        <f t="shared" si="127"/>
        <v>44311.8</v>
      </c>
      <c r="N201" s="297">
        <f t="shared" si="128"/>
        <v>165885.20000000001</v>
      </c>
      <c r="O201" s="298">
        <f>N201*12</f>
        <v>1990622.4000000001</v>
      </c>
    </row>
    <row r="202" spans="1:15" x14ac:dyDescent="0.35">
      <c r="A202" s="300">
        <v>3</v>
      </c>
      <c r="B202" s="1027" t="s">
        <v>9</v>
      </c>
      <c r="C202" s="1028"/>
      <c r="D202" s="1028"/>
      <c r="E202" s="1028"/>
      <c r="F202" s="774">
        <v>1</v>
      </c>
      <c r="G202" s="773">
        <v>15</v>
      </c>
      <c r="H202" s="296">
        <v>45448</v>
      </c>
      <c r="I202" s="296">
        <f>H202</f>
        <v>45448</v>
      </c>
      <c r="J202" s="297">
        <f t="shared" si="129"/>
        <v>11362</v>
      </c>
      <c r="K202" s="297">
        <f t="shared" ref="K202:K210" si="131">I202*0.7</f>
        <v>31813.599999999999</v>
      </c>
      <c r="L202" s="297">
        <f t="shared" si="130"/>
        <v>44311.8</v>
      </c>
      <c r="M202" s="297">
        <f t="shared" si="127"/>
        <v>44311.8</v>
      </c>
      <c r="N202" s="297">
        <f t="shared" si="128"/>
        <v>165885.20000000001</v>
      </c>
      <c r="O202" s="298">
        <f t="shared" ref="O202:O210" si="132">N202*12</f>
        <v>1990622.4000000001</v>
      </c>
    </row>
    <row r="203" spans="1:15" x14ac:dyDescent="0.35">
      <c r="A203" s="300">
        <v>4</v>
      </c>
      <c r="B203" s="1027" t="s">
        <v>10</v>
      </c>
      <c r="C203" s="1028"/>
      <c r="D203" s="1028"/>
      <c r="E203" s="1028"/>
      <c r="F203" s="774">
        <v>1</v>
      </c>
      <c r="G203" s="302">
        <v>9</v>
      </c>
      <c r="H203" s="39">
        <v>24722</v>
      </c>
      <c r="I203" s="296">
        <f>H203</f>
        <v>24722</v>
      </c>
      <c r="J203" s="297">
        <f t="shared" si="129"/>
        <v>6180.5</v>
      </c>
      <c r="K203" s="297">
        <f t="shared" si="131"/>
        <v>17305.399999999998</v>
      </c>
      <c r="L203" s="297">
        <f t="shared" si="130"/>
        <v>24103.949999999997</v>
      </c>
      <c r="M203" s="297">
        <f t="shared" si="127"/>
        <v>24103.949999999997</v>
      </c>
      <c r="N203" s="297">
        <f t="shared" si="128"/>
        <v>90235.299999999988</v>
      </c>
      <c r="O203" s="298">
        <f t="shared" si="132"/>
        <v>1082823.5999999999</v>
      </c>
    </row>
    <row r="204" spans="1:15" x14ac:dyDescent="0.35">
      <c r="A204" s="300">
        <v>5</v>
      </c>
      <c r="B204" s="1027" t="s">
        <v>11</v>
      </c>
      <c r="C204" s="1028"/>
      <c r="D204" s="1028"/>
      <c r="E204" s="1028"/>
      <c r="F204" s="774">
        <v>1</v>
      </c>
      <c r="G204" s="302">
        <v>9</v>
      </c>
      <c r="H204" s="39">
        <v>24722</v>
      </c>
      <c r="I204" s="296">
        <f t="shared" ref="I204:I207" si="133">H204</f>
        <v>24722</v>
      </c>
      <c r="J204" s="297">
        <f t="shared" si="129"/>
        <v>6180.5</v>
      </c>
      <c r="K204" s="297">
        <f t="shared" si="131"/>
        <v>17305.399999999998</v>
      </c>
      <c r="L204" s="297">
        <f t="shared" si="130"/>
        <v>24103.949999999997</v>
      </c>
      <c r="M204" s="297">
        <f t="shared" si="127"/>
        <v>24103.949999999997</v>
      </c>
      <c r="N204" s="297">
        <f t="shared" si="128"/>
        <v>90235.299999999988</v>
      </c>
      <c r="O204" s="298">
        <f t="shared" si="132"/>
        <v>1082823.5999999999</v>
      </c>
    </row>
    <row r="205" spans="1:15" x14ac:dyDescent="0.35">
      <c r="A205" s="300">
        <v>6</v>
      </c>
      <c r="B205" s="1183" t="s">
        <v>91</v>
      </c>
      <c r="C205" s="1184"/>
      <c r="D205" s="1184"/>
      <c r="E205" s="1185"/>
      <c r="F205" s="774">
        <v>1</v>
      </c>
      <c r="G205" s="302">
        <v>9</v>
      </c>
      <c r="H205" s="39">
        <v>24722</v>
      </c>
      <c r="I205" s="296">
        <f t="shared" si="133"/>
        <v>24722</v>
      </c>
      <c r="J205" s="297">
        <f t="shared" si="129"/>
        <v>6180.5</v>
      </c>
      <c r="K205" s="297">
        <f t="shared" si="131"/>
        <v>17305.399999999998</v>
      </c>
      <c r="L205" s="297">
        <f t="shared" si="130"/>
        <v>24103.949999999997</v>
      </c>
      <c r="M205" s="297">
        <f t="shared" si="127"/>
        <v>24103.949999999997</v>
      </c>
      <c r="N205" s="297">
        <f t="shared" si="128"/>
        <v>90235.299999999988</v>
      </c>
      <c r="O205" s="298">
        <f t="shared" si="132"/>
        <v>1082823.5999999999</v>
      </c>
    </row>
    <row r="206" spans="1:15" x14ac:dyDescent="0.35">
      <c r="A206" s="300">
        <v>7</v>
      </c>
      <c r="B206" s="1027" t="s">
        <v>12</v>
      </c>
      <c r="C206" s="1028"/>
      <c r="D206" s="1028"/>
      <c r="E206" s="1028"/>
      <c r="F206" s="774">
        <v>1</v>
      </c>
      <c r="G206" s="302">
        <v>9</v>
      </c>
      <c r="H206" s="39">
        <v>24722</v>
      </c>
      <c r="I206" s="296">
        <f t="shared" si="133"/>
        <v>24722</v>
      </c>
      <c r="J206" s="297">
        <f t="shared" si="129"/>
        <v>6180.5</v>
      </c>
      <c r="K206" s="297">
        <f t="shared" si="131"/>
        <v>17305.399999999998</v>
      </c>
      <c r="L206" s="297">
        <f t="shared" si="130"/>
        <v>24103.949999999997</v>
      </c>
      <c r="M206" s="297">
        <f t="shared" si="127"/>
        <v>24103.949999999997</v>
      </c>
      <c r="N206" s="297">
        <f t="shared" si="128"/>
        <v>90235.299999999988</v>
      </c>
      <c r="O206" s="298">
        <f t="shared" si="132"/>
        <v>1082823.5999999999</v>
      </c>
    </row>
    <row r="207" spans="1:15" x14ac:dyDescent="0.35">
      <c r="A207" s="300">
        <v>8</v>
      </c>
      <c r="B207" s="1027" t="s">
        <v>13</v>
      </c>
      <c r="C207" s="1028"/>
      <c r="D207" s="1028"/>
      <c r="E207" s="1028"/>
      <c r="F207" s="774">
        <v>2</v>
      </c>
      <c r="G207" s="302">
        <v>7</v>
      </c>
      <c r="H207" s="39">
        <v>19332</v>
      </c>
      <c r="I207" s="296">
        <f t="shared" si="133"/>
        <v>19332</v>
      </c>
      <c r="J207" s="297">
        <f t="shared" si="129"/>
        <v>4833</v>
      </c>
      <c r="K207" s="297">
        <f t="shared" si="131"/>
        <v>13532.4</v>
      </c>
      <c r="L207" s="297">
        <f t="shared" si="130"/>
        <v>18848.7</v>
      </c>
      <c r="M207" s="297">
        <f t="shared" si="127"/>
        <v>18848.7</v>
      </c>
      <c r="N207" s="297">
        <f t="shared" si="128"/>
        <v>70561.8</v>
      </c>
      <c r="O207" s="298">
        <f t="shared" si="132"/>
        <v>846741.60000000009</v>
      </c>
    </row>
    <row r="208" spans="1:15" ht="24.5" customHeight="1" x14ac:dyDescent="0.35">
      <c r="A208" s="300">
        <v>9</v>
      </c>
      <c r="B208" s="1016" t="s">
        <v>93</v>
      </c>
      <c r="C208" s="1017"/>
      <c r="D208" s="1017"/>
      <c r="E208" s="1018"/>
      <c r="F208" s="774">
        <v>2</v>
      </c>
      <c r="G208" s="302">
        <v>13</v>
      </c>
      <c r="H208" s="39">
        <v>36247</v>
      </c>
      <c r="I208" s="297">
        <f>H208*F208</f>
        <v>72494</v>
      </c>
      <c r="J208" s="297">
        <f t="shared" si="129"/>
        <v>9061.75</v>
      </c>
      <c r="K208" s="297">
        <f t="shared" si="131"/>
        <v>50745.799999999996</v>
      </c>
      <c r="L208" s="297">
        <f t="shared" si="130"/>
        <v>66150.774999999994</v>
      </c>
      <c r="M208" s="297">
        <f t="shared" si="127"/>
        <v>66150.774999999994</v>
      </c>
      <c r="N208" s="297">
        <f t="shared" si="128"/>
        <v>255541.34999999998</v>
      </c>
      <c r="O208" s="298">
        <f t="shared" si="132"/>
        <v>3066496.1999999997</v>
      </c>
    </row>
    <row r="209" spans="1:15" x14ac:dyDescent="0.35">
      <c r="A209" s="300">
        <v>10</v>
      </c>
      <c r="B209" s="1016" t="s">
        <v>94</v>
      </c>
      <c r="C209" s="1017"/>
      <c r="D209" s="1017"/>
      <c r="E209" s="1018"/>
      <c r="F209" s="774">
        <v>1</v>
      </c>
      <c r="G209" s="302">
        <v>7</v>
      </c>
      <c r="H209" s="39">
        <v>19332</v>
      </c>
      <c r="I209" s="296">
        <f t="shared" ref="I209:I210" si="134">H209</f>
        <v>19332</v>
      </c>
      <c r="J209" s="297">
        <f t="shared" si="129"/>
        <v>4833</v>
      </c>
      <c r="K209" s="297">
        <f t="shared" si="131"/>
        <v>13532.4</v>
      </c>
      <c r="L209" s="297">
        <f t="shared" si="130"/>
        <v>18848.7</v>
      </c>
      <c r="M209" s="297">
        <f t="shared" si="127"/>
        <v>18848.7</v>
      </c>
      <c r="N209" s="297">
        <f t="shared" si="128"/>
        <v>70561.8</v>
      </c>
      <c r="O209" s="298">
        <f t="shared" si="132"/>
        <v>846741.60000000009</v>
      </c>
    </row>
    <row r="210" spans="1:15" x14ac:dyDescent="0.35">
      <c r="A210" s="300">
        <v>11</v>
      </c>
      <c r="B210" s="1016" t="s">
        <v>14</v>
      </c>
      <c r="C210" s="1017"/>
      <c r="D210" s="1017"/>
      <c r="E210" s="1018"/>
      <c r="F210" s="774">
        <v>1</v>
      </c>
      <c r="G210" s="302">
        <v>7</v>
      </c>
      <c r="H210" s="39">
        <v>19332</v>
      </c>
      <c r="I210" s="296">
        <f t="shared" si="134"/>
        <v>19332</v>
      </c>
      <c r="J210" s="297">
        <f t="shared" si="129"/>
        <v>4833</v>
      </c>
      <c r="K210" s="297">
        <f t="shared" si="131"/>
        <v>13532.4</v>
      </c>
      <c r="L210" s="297">
        <f t="shared" si="130"/>
        <v>18848.7</v>
      </c>
      <c r="M210" s="297">
        <f t="shared" si="127"/>
        <v>18848.7</v>
      </c>
      <c r="N210" s="297">
        <f t="shared" si="128"/>
        <v>70561.8</v>
      </c>
      <c r="O210" s="298">
        <f t="shared" si="132"/>
        <v>846741.60000000009</v>
      </c>
    </row>
    <row r="211" spans="1:15" x14ac:dyDescent="0.35">
      <c r="A211" s="300">
        <v>12</v>
      </c>
      <c r="B211" s="765" t="s">
        <v>92</v>
      </c>
      <c r="C211" s="766"/>
      <c r="D211" s="766"/>
      <c r="E211" s="766"/>
      <c r="F211" s="774">
        <v>1</v>
      </c>
      <c r="G211" s="302">
        <v>9</v>
      </c>
      <c r="H211" s="39">
        <v>24722</v>
      </c>
      <c r="I211" s="296">
        <f>H211</f>
        <v>24722</v>
      </c>
      <c r="J211" s="297">
        <f t="shared" si="129"/>
        <v>6180.5</v>
      </c>
      <c r="K211" s="297">
        <f>I211*0.7</f>
        <v>17305.399999999998</v>
      </c>
      <c r="L211" s="297">
        <f t="shared" si="130"/>
        <v>24103.949999999997</v>
      </c>
      <c r="M211" s="297">
        <f t="shared" si="127"/>
        <v>24103.949999999997</v>
      </c>
      <c r="N211" s="297">
        <f t="shared" si="128"/>
        <v>90235.299999999988</v>
      </c>
      <c r="O211" s="298">
        <f>N211*12</f>
        <v>1082823.5999999999</v>
      </c>
    </row>
    <row r="212" spans="1:15" x14ac:dyDescent="0.35">
      <c r="A212" s="300">
        <v>13</v>
      </c>
      <c r="B212" s="765" t="s">
        <v>96</v>
      </c>
      <c r="C212" s="766"/>
      <c r="D212" s="766"/>
      <c r="E212" s="766"/>
      <c r="F212" s="774">
        <v>0.5</v>
      </c>
      <c r="G212" s="302">
        <v>6</v>
      </c>
      <c r="H212" s="39">
        <v>17101</v>
      </c>
      <c r="I212" s="297">
        <f>H212*F212</f>
        <v>8550.5</v>
      </c>
      <c r="J212" s="297">
        <f t="shared" si="129"/>
        <v>4275.25</v>
      </c>
      <c r="K212" s="297">
        <f>I212*0.7</f>
        <v>5985.3499999999995</v>
      </c>
      <c r="L212" s="297">
        <f t="shared" si="130"/>
        <v>9405.5499999999993</v>
      </c>
      <c r="M212" s="297">
        <f t="shared" si="127"/>
        <v>9405.5499999999993</v>
      </c>
      <c r="N212" s="297">
        <f t="shared" si="128"/>
        <v>33346.949999999997</v>
      </c>
      <c r="O212" s="298">
        <f>N212*12</f>
        <v>400163.39999999997</v>
      </c>
    </row>
    <row r="213" spans="1:15" x14ac:dyDescent="0.35">
      <c r="A213" s="300">
        <v>14</v>
      </c>
      <c r="B213" s="759" t="s">
        <v>97</v>
      </c>
      <c r="C213" s="760"/>
      <c r="D213" s="760"/>
      <c r="E213" s="760"/>
      <c r="F213" s="774">
        <v>0.5</v>
      </c>
      <c r="G213" s="302">
        <v>3</v>
      </c>
      <c r="H213" s="39">
        <v>11896</v>
      </c>
      <c r="I213" s="297">
        <f>H213*F213</f>
        <v>5948</v>
      </c>
      <c r="J213" s="297">
        <f t="shared" si="129"/>
        <v>2974</v>
      </c>
      <c r="K213" s="297">
        <f>I213*0.7</f>
        <v>4163.5999999999995</v>
      </c>
      <c r="L213" s="297">
        <f t="shared" si="130"/>
        <v>6542.7999999999993</v>
      </c>
      <c r="M213" s="297">
        <f t="shared" si="127"/>
        <v>6542.7999999999993</v>
      </c>
      <c r="N213" s="297">
        <f t="shared" si="128"/>
        <v>23197.199999999997</v>
      </c>
      <c r="O213" s="298">
        <f>N213*12</f>
        <v>278366.39999999997</v>
      </c>
    </row>
    <row r="214" spans="1:15" x14ac:dyDescent="0.35">
      <c r="A214" s="767">
        <v>15</v>
      </c>
      <c r="B214" s="769" t="s">
        <v>1257</v>
      </c>
      <c r="C214" s="770"/>
      <c r="D214" s="770"/>
      <c r="E214" s="770"/>
      <c r="F214" s="32">
        <v>1</v>
      </c>
      <c r="G214" s="302">
        <v>3</v>
      </c>
      <c r="H214" s="39">
        <v>11896</v>
      </c>
      <c r="I214" s="296">
        <f>H214</f>
        <v>11896</v>
      </c>
      <c r="J214" s="297">
        <f t="shared" si="129"/>
        <v>2974</v>
      </c>
      <c r="K214" s="297">
        <f>I214*0.7</f>
        <v>8327.1999999999989</v>
      </c>
      <c r="L214" s="297">
        <f t="shared" si="130"/>
        <v>11598.599999999999</v>
      </c>
      <c r="M214" s="297">
        <f t="shared" si="127"/>
        <v>11598.599999999999</v>
      </c>
      <c r="N214" s="297">
        <f t="shared" si="128"/>
        <v>43420.399999999994</v>
      </c>
      <c r="O214" s="298">
        <f>N214*12</f>
        <v>521044.79999999993</v>
      </c>
    </row>
    <row r="215" spans="1:15" ht="15" thickBot="1" x14ac:dyDescent="0.4">
      <c r="A215" s="757">
        <v>16</v>
      </c>
      <c r="B215" s="965" t="s">
        <v>1338</v>
      </c>
      <c r="C215" s="966"/>
      <c r="D215" s="966"/>
      <c r="E215" s="967"/>
      <c r="F215" s="32">
        <v>1</v>
      </c>
      <c r="G215" s="302">
        <v>7</v>
      </c>
      <c r="H215" s="39">
        <v>19332</v>
      </c>
      <c r="I215" s="296">
        <f>H215</f>
        <v>19332</v>
      </c>
      <c r="J215" s="297">
        <f t="shared" si="129"/>
        <v>4833</v>
      </c>
      <c r="K215" s="297">
        <f>I215*0.7</f>
        <v>13532.4</v>
      </c>
      <c r="L215" s="297">
        <f t="shared" si="130"/>
        <v>18848.7</v>
      </c>
      <c r="M215" s="297">
        <f t="shared" si="127"/>
        <v>18848.7</v>
      </c>
      <c r="N215" s="297">
        <f t="shared" si="128"/>
        <v>70561.8</v>
      </c>
      <c r="O215" s="298">
        <f>N215*12</f>
        <v>846741.60000000009</v>
      </c>
    </row>
    <row r="216" spans="1:15" ht="15" thickBot="1" x14ac:dyDescent="0.4">
      <c r="A216" s="1047" t="s">
        <v>84</v>
      </c>
      <c r="B216" s="1048"/>
      <c r="C216" s="1048"/>
      <c r="D216" s="1048"/>
      <c r="E216" s="1049"/>
      <c r="F216" s="303">
        <f>SUM(F200:F215)</f>
        <v>17</v>
      </c>
      <c r="G216" s="304"/>
      <c r="H216" s="305">
        <f t="shared" ref="H216" si="135">SUM(H200:H215)</f>
        <v>419812</v>
      </c>
      <c r="I216" s="305">
        <f t="shared" ref="I216" si="136">SUM(I200:I215)</f>
        <v>441560.5</v>
      </c>
      <c r="J216" s="305">
        <f t="shared" ref="J216" si="137">SUM(J200:J215)</f>
        <v>104953</v>
      </c>
      <c r="K216" s="305">
        <f>SUM(K200:K215)</f>
        <v>309092.34999999992</v>
      </c>
      <c r="L216" s="305">
        <f>SUM(L200:L215)</f>
        <v>427802.92500000005</v>
      </c>
      <c r="M216" s="305">
        <f>SUM(M200:M215)</f>
        <v>427802.92500000005</v>
      </c>
      <c r="N216" s="305">
        <f>SUM(N200:N215)</f>
        <v>1606258.7000000002</v>
      </c>
      <c r="O216" s="305">
        <f>SUM(O200:O215)</f>
        <v>19275104.399999999</v>
      </c>
    </row>
    <row r="217" spans="1:15" ht="15" thickBot="1" x14ac:dyDescent="0.4">
      <c r="A217" s="289"/>
      <c r="B217" s="289"/>
      <c r="C217" s="306" t="s">
        <v>16</v>
      </c>
      <c r="D217" s="306"/>
      <c r="E217" s="306"/>
      <c r="F217" s="306"/>
      <c r="G217" s="306"/>
      <c r="H217" s="306"/>
      <c r="I217" s="306"/>
      <c r="J217" s="306"/>
      <c r="K217" s="306"/>
      <c r="L217" s="306"/>
      <c r="M217" s="289"/>
      <c r="N217" s="289"/>
      <c r="O217" s="289"/>
    </row>
    <row r="218" spans="1:15" ht="15" thickBot="1" x14ac:dyDescent="0.4">
      <c r="A218" s="1142" t="s">
        <v>0</v>
      </c>
      <c r="B218" s="1155" t="s">
        <v>1</v>
      </c>
      <c r="C218" s="1156"/>
      <c r="D218" s="1156"/>
      <c r="E218" s="1157"/>
      <c r="F218" s="1144" t="s">
        <v>75</v>
      </c>
      <c r="G218" s="1142" t="s">
        <v>76</v>
      </c>
      <c r="H218" s="1144" t="s">
        <v>77</v>
      </c>
      <c r="I218" s="1146" t="s">
        <v>78</v>
      </c>
      <c r="J218" s="1147"/>
      <c r="K218" s="1148"/>
      <c r="L218" s="1148"/>
      <c r="M218" s="1148"/>
      <c r="N218" s="1182"/>
      <c r="O218" s="1150" t="s">
        <v>79</v>
      </c>
    </row>
    <row r="219" spans="1:15" ht="20.5" thickBot="1" x14ac:dyDescent="0.4">
      <c r="A219" s="1143"/>
      <c r="B219" s="1158"/>
      <c r="C219" s="1159"/>
      <c r="D219" s="1159"/>
      <c r="E219" s="1160"/>
      <c r="F219" s="1145"/>
      <c r="G219" s="1143"/>
      <c r="H219" s="1145"/>
      <c r="I219" s="307" t="s">
        <v>80</v>
      </c>
      <c r="J219" s="307" t="s">
        <v>1468</v>
      </c>
      <c r="K219" s="307" t="s">
        <v>81</v>
      </c>
      <c r="L219" s="292" t="s">
        <v>82</v>
      </c>
      <c r="M219" s="307" t="s">
        <v>83</v>
      </c>
      <c r="N219" s="292" t="s">
        <v>84</v>
      </c>
      <c r="O219" s="1151"/>
    </row>
    <row r="220" spans="1:15" x14ac:dyDescent="0.35">
      <c r="A220" s="308">
        <v>1</v>
      </c>
      <c r="B220" s="1181" t="s">
        <v>95</v>
      </c>
      <c r="C220" s="1181"/>
      <c r="D220" s="1181"/>
      <c r="E220" s="1181"/>
      <c r="F220" s="773">
        <v>1</v>
      </c>
      <c r="G220" s="309">
        <v>8</v>
      </c>
      <c r="H220" s="310">
        <v>21841</v>
      </c>
      <c r="I220" s="296">
        <f>H220</f>
        <v>21841</v>
      </c>
      <c r="J220" s="297">
        <f t="shared" ref="J220:J227" si="138">H220*25%</f>
        <v>5460.25</v>
      </c>
      <c r="K220" s="297">
        <f t="shared" ref="K220:K226" si="139">I220*0.7</f>
        <v>15288.699999999999</v>
      </c>
      <c r="L220" s="297">
        <f t="shared" ref="L220:L227" si="140">(I220+J220+K220)*0.5</f>
        <v>21294.974999999999</v>
      </c>
      <c r="M220" s="297">
        <f t="shared" ref="M220:M222" si="141">L220</f>
        <v>21294.974999999999</v>
      </c>
      <c r="N220" s="297">
        <f t="shared" ref="N220:N222" si="142">I220+K220+L220+M220</f>
        <v>79719.649999999994</v>
      </c>
      <c r="O220" s="298">
        <f t="shared" ref="O220:O227" si="143">N220*12</f>
        <v>956635.79999999993</v>
      </c>
    </row>
    <row r="221" spans="1:15" ht="22" customHeight="1" x14ac:dyDescent="0.35">
      <c r="A221" s="311">
        <v>2</v>
      </c>
      <c r="B221" s="1031" t="s">
        <v>1454</v>
      </c>
      <c r="C221" s="1031"/>
      <c r="D221" s="1031"/>
      <c r="E221" s="1031"/>
      <c r="F221" s="302">
        <v>2</v>
      </c>
      <c r="G221" s="327">
        <v>4</v>
      </c>
      <c r="H221" s="311">
        <v>13383</v>
      </c>
      <c r="I221" s="296">
        <f>H221</f>
        <v>13383</v>
      </c>
      <c r="J221" s="297">
        <f t="shared" si="138"/>
        <v>3345.75</v>
      </c>
      <c r="K221" s="297">
        <f t="shared" si="139"/>
        <v>9368.0999999999985</v>
      </c>
      <c r="L221" s="297">
        <f t="shared" si="140"/>
        <v>13048.424999999999</v>
      </c>
      <c r="M221" s="297">
        <f t="shared" si="141"/>
        <v>13048.424999999999</v>
      </c>
      <c r="N221" s="297">
        <f t="shared" si="142"/>
        <v>48847.95</v>
      </c>
      <c r="O221" s="298">
        <f t="shared" si="143"/>
        <v>586175.39999999991</v>
      </c>
    </row>
    <row r="222" spans="1:15" x14ac:dyDescent="0.35">
      <c r="A222" s="312">
        <v>3</v>
      </c>
      <c r="B222" s="970" t="s">
        <v>85</v>
      </c>
      <c r="C222" s="971"/>
      <c r="D222" s="971"/>
      <c r="E222" s="1007"/>
      <c r="F222" s="774">
        <v>1</v>
      </c>
      <c r="G222" s="302">
        <v>7</v>
      </c>
      <c r="H222" s="39">
        <v>19332</v>
      </c>
      <c r="I222" s="296">
        <f>H222</f>
        <v>19332</v>
      </c>
      <c r="J222" s="297">
        <f t="shared" si="138"/>
        <v>4833</v>
      </c>
      <c r="K222" s="297">
        <f t="shared" si="139"/>
        <v>13532.4</v>
      </c>
      <c r="L222" s="297">
        <f t="shared" si="140"/>
        <v>18848.7</v>
      </c>
      <c r="M222" s="297">
        <f t="shared" si="141"/>
        <v>18848.7</v>
      </c>
      <c r="N222" s="297">
        <f t="shared" si="142"/>
        <v>70561.8</v>
      </c>
      <c r="O222" s="298">
        <f t="shared" si="143"/>
        <v>846741.60000000009</v>
      </c>
    </row>
    <row r="223" spans="1:15" x14ac:dyDescent="0.35">
      <c r="A223" s="314">
        <v>4</v>
      </c>
      <c r="B223" s="772" t="s">
        <v>98</v>
      </c>
      <c r="C223" s="772"/>
      <c r="D223" s="772"/>
      <c r="E223" s="772"/>
      <c r="F223" s="768">
        <v>1</v>
      </c>
      <c r="G223" s="773">
        <v>8</v>
      </c>
      <c r="H223" s="310">
        <v>21841</v>
      </c>
      <c r="I223" s="296">
        <f>H223*F223</f>
        <v>21841</v>
      </c>
      <c r="J223" s="297">
        <f t="shared" si="138"/>
        <v>5460.25</v>
      </c>
      <c r="K223" s="297">
        <f t="shared" si="139"/>
        <v>15288.699999999999</v>
      </c>
      <c r="L223" s="297">
        <f t="shared" si="140"/>
        <v>21294.974999999999</v>
      </c>
      <c r="M223" s="297">
        <f>L223</f>
        <v>21294.974999999999</v>
      </c>
      <c r="N223" s="297">
        <f>I223+K223+L223+M223</f>
        <v>79719.649999999994</v>
      </c>
      <c r="O223" s="298">
        <f t="shared" si="143"/>
        <v>956635.79999999993</v>
      </c>
    </row>
    <row r="224" spans="1:15" x14ac:dyDescent="0.35">
      <c r="A224" s="315">
        <v>5</v>
      </c>
      <c r="B224" s="772" t="s">
        <v>99</v>
      </c>
      <c r="C224" s="772"/>
      <c r="D224" s="772"/>
      <c r="E224" s="772"/>
      <c r="F224" s="768">
        <v>1</v>
      </c>
      <c r="G224" s="773">
        <v>8</v>
      </c>
      <c r="H224" s="310">
        <v>21841</v>
      </c>
      <c r="I224" s="296">
        <f>H224*F224</f>
        <v>21841</v>
      </c>
      <c r="J224" s="297">
        <f t="shared" si="138"/>
        <v>5460.25</v>
      </c>
      <c r="K224" s="297">
        <f t="shared" si="139"/>
        <v>15288.699999999999</v>
      </c>
      <c r="L224" s="297">
        <f t="shared" si="140"/>
        <v>21294.974999999999</v>
      </c>
      <c r="M224" s="297">
        <f>L224</f>
        <v>21294.974999999999</v>
      </c>
      <c r="N224" s="297">
        <f>I224+K224+L224+M224</f>
        <v>79719.649999999994</v>
      </c>
      <c r="O224" s="298">
        <f t="shared" si="143"/>
        <v>956635.79999999993</v>
      </c>
    </row>
    <row r="225" spans="1:15" x14ac:dyDescent="0.35">
      <c r="A225" s="315">
        <v>6</v>
      </c>
      <c r="B225" s="946" t="s">
        <v>1443</v>
      </c>
      <c r="C225" s="946"/>
      <c r="D225" s="946"/>
      <c r="E225" s="946"/>
      <c r="F225" s="775">
        <v>1</v>
      </c>
      <c r="G225" s="302">
        <v>8</v>
      </c>
      <c r="H225" s="39">
        <v>21841</v>
      </c>
      <c r="I225" s="296">
        <f>H225*F225</f>
        <v>21841</v>
      </c>
      <c r="J225" s="297">
        <f t="shared" si="138"/>
        <v>5460.25</v>
      </c>
      <c r="K225" s="297">
        <f t="shared" si="139"/>
        <v>15288.699999999999</v>
      </c>
      <c r="L225" s="297">
        <f t="shared" si="140"/>
        <v>21294.974999999999</v>
      </c>
      <c r="M225" s="297">
        <f>L225</f>
        <v>21294.974999999999</v>
      </c>
      <c r="N225" s="297">
        <f>I225+K225+L225+M225</f>
        <v>79719.649999999994</v>
      </c>
      <c r="O225" s="298">
        <f t="shared" si="143"/>
        <v>956635.79999999993</v>
      </c>
    </row>
    <row r="226" spans="1:15" x14ac:dyDescent="0.35">
      <c r="A226" s="312">
        <v>7</v>
      </c>
      <c r="B226" s="946" t="s">
        <v>1453</v>
      </c>
      <c r="C226" s="946"/>
      <c r="D226" s="946"/>
      <c r="E226" s="946"/>
      <c r="F226" s="775">
        <v>1</v>
      </c>
      <c r="G226" s="302">
        <v>8</v>
      </c>
      <c r="H226" s="39">
        <v>21841</v>
      </c>
      <c r="I226" s="296">
        <f>H226*F226</f>
        <v>21841</v>
      </c>
      <c r="J226" s="297">
        <f t="shared" si="138"/>
        <v>5460.25</v>
      </c>
      <c r="K226" s="297">
        <f t="shared" si="139"/>
        <v>15288.699999999999</v>
      </c>
      <c r="L226" s="297">
        <f t="shared" si="140"/>
        <v>21294.974999999999</v>
      </c>
      <c r="M226" s="297">
        <f>L226</f>
        <v>21294.974999999999</v>
      </c>
      <c r="N226" s="297">
        <f>I226+K226+L226+M226</f>
        <v>79719.649999999994</v>
      </c>
      <c r="O226" s="298">
        <f t="shared" si="143"/>
        <v>956635.79999999993</v>
      </c>
    </row>
    <row r="227" spans="1:15" ht="15" thickBot="1" x14ac:dyDescent="0.4">
      <c r="A227" s="318">
        <v>8</v>
      </c>
      <c r="B227" s="1180" t="s">
        <v>86</v>
      </c>
      <c r="C227" s="1180"/>
      <c r="D227" s="1180"/>
      <c r="E227" s="1180"/>
      <c r="F227" s="40">
        <v>4</v>
      </c>
      <c r="G227" s="319">
        <v>8</v>
      </c>
      <c r="H227" s="310">
        <v>21841</v>
      </c>
      <c r="I227" s="320">
        <f>H227*F227</f>
        <v>87364</v>
      </c>
      <c r="J227" s="297">
        <f t="shared" si="138"/>
        <v>5460.25</v>
      </c>
      <c r="K227" s="321">
        <f>I227*0.75</f>
        <v>65523</v>
      </c>
      <c r="L227" s="297">
        <f t="shared" si="140"/>
        <v>79173.625</v>
      </c>
      <c r="M227" s="321">
        <f>L227</f>
        <v>79173.625</v>
      </c>
      <c r="N227" s="321">
        <f>I227+K227+L227+M227</f>
        <v>311234.25</v>
      </c>
      <c r="O227" s="779">
        <f t="shared" si="143"/>
        <v>3734811</v>
      </c>
    </row>
    <row r="228" spans="1:15" ht="15" thickBot="1" x14ac:dyDescent="0.4">
      <c r="A228" s="1047" t="s">
        <v>84</v>
      </c>
      <c r="B228" s="1048"/>
      <c r="C228" s="1048"/>
      <c r="D228" s="1048"/>
      <c r="E228" s="1049"/>
      <c r="F228" s="303">
        <f>SUM(F220:F227)</f>
        <v>12</v>
      </c>
      <c r="G228" s="304"/>
      <c r="H228" s="305">
        <f t="shared" ref="H228" si="144">SUM(H220:H227)</f>
        <v>163761</v>
      </c>
      <c r="I228" s="305">
        <f t="shared" ref="I228" si="145">SUM(I220:I227)</f>
        <v>229284</v>
      </c>
      <c r="J228" s="305">
        <f t="shared" ref="J228" si="146">SUM(J220:J227)</f>
        <v>40940.25</v>
      </c>
      <c r="K228" s="305">
        <f>SUM(K220:K227)</f>
        <v>164867</v>
      </c>
      <c r="L228" s="305">
        <f>SUM(L220:L227)</f>
        <v>217545.625</v>
      </c>
      <c r="M228" s="305">
        <f>SUM(M220:M227)</f>
        <v>217545.625</v>
      </c>
      <c r="N228" s="305">
        <f>SUM(N220:N227)</f>
        <v>829242.25</v>
      </c>
      <c r="O228" s="322">
        <f>SUM(O220:O227)</f>
        <v>9950907</v>
      </c>
    </row>
    <row r="229" spans="1:15" ht="15" thickBot="1" x14ac:dyDescent="0.4">
      <c r="A229" s="323"/>
      <c r="B229" s="289"/>
      <c r="C229" s="306" t="s">
        <v>18</v>
      </c>
      <c r="D229" s="306"/>
      <c r="E229" s="306"/>
      <c r="F229" s="306"/>
      <c r="G229" s="306"/>
      <c r="H229" s="306"/>
      <c r="I229" s="306"/>
      <c r="J229" s="306"/>
      <c r="K229" s="306"/>
      <c r="L229" s="306"/>
      <c r="M229" s="289"/>
      <c r="N229" s="289"/>
      <c r="O229" s="289"/>
    </row>
    <row r="230" spans="1:15" ht="15" thickBot="1" x14ac:dyDescent="0.4">
      <c r="A230" s="1142" t="s">
        <v>0</v>
      </c>
      <c r="B230" s="1155" t="s">
        <v>1</v>
      </c>
      <c r="C230" s="1156"/>
      <c r="D230" s="1156"/>
      <c r="E230" s="1169"/>
      <c r="F230" s="1142" t="s">
        <v>75</v>
      </c>
      <c r="G230" s="1142" t="s">
        <v>76</v>
      </c>
      <c r="H230" s="1176" t="s">
        <v>77</v>
      </c>
      <c r="I230" s="1178" t="s">
        <v>78</v>
      </c>
      <c r="J230" s="1161"/>
      <c r="K230" s="1162"/>
      <c r="L230" s="1162"/>
      <c r="M230" s="1162"/>
      <c r="N230" s="1163"/>
      <c r="O230" s="1150" t="s">
        <v>79</v>
      </c>
    </row>
    <row r="231" spans="1:15" ht="20.5" thickBot="1" x14ac:dyDescent="0.4">
      <c r="A231" s="1143"/>
      <c r="B231" s="1158"/>
      <c r="C231" s="1159"/>
      <c r="D231" s="1159"/>
      <c r="E231" s="1171"/>
      <c r="F231" s="1143"/>
      <c r="G231" s="1143"/>
      <c r="H231" s="1177"/>
      <c r="I231" s="307" t="s">
        <v>80</v>
      </c>
      <c r="J231" s="307" t="s">
        <v>1468</v>
      </c>
      <c r="K231" s="307" t="s">
        <v>81</v>
      </c>
      <c r="L231" s="307" t="s">
        <v>82</v>
      </c>
      <c r="M231" s="307" t="s">
        <v>83</v>
      </c>
      <c r="N231" s="324" t="s">
        <v>84</v>
      </c>
      <c r="O231" s="1151"/>
    </row>
    <row r="232" spans="1:15" ht="22.5" customHeight="1" x14ac:dyDescent="0.35">
      <c r="A232" s="308">
        <v>1</v>
      </c>
      <c r="B232" s="1179" t="s">
        <v>100</v>
      </c>
      <c r="C232" s="1179"/>
      <c r="D232" s="1179"/>
      <c r="E232" s="1179"/>
      <c r="F232" s="309">
        <v>2</v>
      </c>
      <c r="G232" s="309">
        <v>2</v>
      </c>
      <c r="H232" s="310">
        <v>10502</v>
      </c>
      <c r="I232" s="310">
        <f t="shared" ref="I232:I239" si="147">H232*F232</f>
        <v>21004</v>
      </c>
      <c r="J232" s="297">
        <f t="shared" ref="J232:J243" si="148">H232*25%</f>
        <v>2625.5</v>
      </c>
      <c r="K232" s="325">
        <f t="shared" ref="K232:K235" si="149">I232*0.7</f>
        <v>14702.8</v>
      </c>
      <c r="L232" s="297">
        <f t="shared" ref="L232:L243" si="150">(I232+J232+K232)*0.5</f>
        <v>19166.150000000001</v>
      </c>
      <c r="M232" s="325">
        <f t="shared" ref="M232:M235" si="151">L232</f>
        <v>19166.150000000001</v>
      </c>
      <c r="N232" s="325">
        <f t="shared" ref="N232:N242" si="152">I232+K232+L232+M232</f>
        <v>74039.100000000006</v>
      </c>
      <c r="O232" s="326">
        <f t="shared" ref="O232:O235" si="153">N232*12</f>
        <v>888469.20000000007</v>
      </c>
    </row>
    <row r="233" spans="1:15" ht="22.5" customHeight="1" x14ac:dyDescent="0.35">
      <c r="A233" s="311">
        <v>2</v>
      </c>
      <c r="B233" s="1175" t="s">
        <v>101</v>
      </c>
      <c r="C233" s="1175"/>
      <c r="D233" s="1175"/>
      <c r="E233" s="1175"/>
      <c r="F233" s="327">
        <v>3</v>
      </c>
      <c r="G233" s="327">
        <v>3</v>
      </c>
      <c r="H233" s="328">
        <v>11896</v>
      </c>
      <c r="I233" s="328">
        <f t="shared" si="147"/>
        <v>35688</v>
      </c>
      <c r="J233" s="297">
        <f t="shared" si="148"/>
        <v>2974</v>
      </c>
      <c r="K233" s="329">
        <f t="shared" si="149"/>
        <v>24981.599999999999</v>
      </c>
      <c r="L233" s="297">
        <f t="shared" si="150"/>
        <v>31821.8</v>
      </c>
      <c r="M233" s="329">
        <f t="shared" si="151"/>
        <v>31821.8</v>
      </c>
      <c r="N233" s="329">
        <f t="shared" si="152"/>
        <v>124313.2</v>
      </c>
      <c r="O233" s="330">
        <f t="shared" si="153"/>
        <v>1491758.4</v>
      </c>
    </row>
    <row r="234" spans="1:15" ht="22.5" customHeight="1" x14ac:dyDescent="0.35">
      <c r="A234" s="311">
        <v>3</v>
      </c>
      <c r="B234" s="1175" t="s">
        <v>102</v>
      </c>
      <c r="C234" s="1175"/>
      <c r="D234" s="1175"/>
      <c r="E234" s="1175"/>
      <c r="F234" s="327">
        <v>5</v>
      </c>
      <c r="G234" s="327">
        <v>4</v>
      </c>
      <c r="H234" s="311">
        <v>13383</v>
      </c>
      <c r="I234" s="328">
        <f t="shared" si="147"/>
        <v>66915</v>
      </c>
      <c r="J234" s="297">
        <f t="shared" si="148"/>
        <v>3345.75</v>
      </c>
      <c r="K234" s="329">
        <f t="shared" si="149"/>
        <v>46840.5</v>
      </c>
      <c r="L234" s="297">
        <f t="shared" si="150"/>
        <v>58550.625</v>
      </c>
      <c r="M234" s="329">
        <f t="shared" si="151"/>
        <v>58550.625</v>
      </c>
      <c r="N234" s="329">
        <f t="shared" si="152"/>
        <v>230856.75</v>
      </c>
      <c r="O234" s="330">
        <f t="shared" si="153"/>
        <v>2770281</v>
      </c>
    </row>
    <row r="235" spans="1:15" ht="22.5" customHeight="1" x14ac:dyDescent="0.35">
      <c r="A235" s="308"/>
      <c r="B235" s="1175" t="s">
        <v>1460</v>
      </c>
      <c r="C235" s="1175"/>
      <c r="D235" s="1175"/>
      <c r="E235" s="1175"/>
      <c r="F235" s="32">
        <v>2</v>
      </c>
      <c r="G235" s="775">
        <v>5</v>
      </c>
      <c r="H235" s="332">
        <v>15149</v>
      </c>
      <c r="I235" s="328">
        <f t="shared" si="147"/>
        <v>30298</v>
      </c>
      <c r="J235" s="297">
        <f t="shared" si="148"/>
        <v>3787.25</v>
      </c>
      <c r="K235" s="329">
        <f t="shared" si="149"/>
        <v>21208.6</v>
      </c>
      <c r="L235" s="297">
        <f t="shared" si="150"/>
        <v>27646.924999999999</v>
      </c>
      <c r="M235" s="329">
        <f t="shared" si="151"/>
        <v>27646.924999999999</v>
      </c>
      <c r="N235" s="329">
        <f t="shared" si="152"/>
        <v>106800.45</v>
      </c>
      <c r="O235" s="330">
        <f t="shared" si="153"/>
        <v>1281605.3999999999</v>
      </c>
    </row>
    <row r="236" spans="1:15" ht="22.5" customHeight="1" x14ac:dyDescent="0.35">
      <c r="A236" s="308">
        <v>4</v>
      </c>
      <c r="B236" s="1175" t="s">
        <v>1444</v>
      </c>
      <c r="C236" s="1175"/>
      <c r="D236" s="1175"/>
      <c r="E236" s="1175"/>
      <c r="F236" s="309">
        <v>2</v>
      </c>
      <c r="G236" s="773">
        <v>3</v>
      </c>
      <c r="H236" s="328">
        <v>11896</v>
      </c>
      <c r="I236" s="310">
        <f t="shared" si="147"/>
        <v>23792</v>
      </c>
      <c r="J236" s="297">
        <f t="shared" si="148"/>
        <v>2974</v>
      </c>
      <c r="K236" s="325">
        <f>I236*0.7</f>
        <v>16654.399999999998</v>
      </c>
      <c r="L236" s="297">
        <f t="shared" si="150"/>
        <v>21710.199999999997</v>
      </c>
      <c r="M236" s="325">
        <f>L236</f>
        <v>21710.199999999997</v>
      </c>
      <c r="N236" s="325">
        <f t="shared" si="152"/>
        <v>83866.799999999988</v>
      </c>
      <c r="O236" s="326">
        <f>N236*12</f>
        <v>1006401.5999999999</v>
      </c>
    </row>
    <row r="237" spans="1:15" ht="22.5" customHeight="1" x14ac:dyDescent="0.35">
      <c r="A237" s="331">
        <v>5</v>
      </c>
      <c r="B237" s="1175" t="s">
        <v>1459</v>
      </c>
      <c r="C237" s="1175"/>
      <c r="D237" s="1175"/>
      <c r="E237" s="1175"/>
      <c r="F237" s="32">
        <v>8</v>
      </c>
      <c r="G237" s="302">
        <v>4</v>
      </c>
      <c r="H237" s="311">
        <v>13383</v>
      </c>
      <c r="I237" s="328">
        <f t="shared" si="147"/>
        <v>107064</v>
      </c>
      <c r="J237" s="297">
        <f t="shared" si="148"/>
        <v>3345.75</v>
      </c>
      <c r="K237" s="329">
        <f t="shared" ref="K237:K238" si="154">I237*0.7</f>
        <v>74944.799999999988</v>
      </c>
      <c r="L237" s="297">
        <f t="shared" si="150"/>
        <v>92677.274999999994</v>
      </c>
      <c r="M237" s="329">
        <f t="shared" ref="M237:M243" si="155">L237</f>
        <v>92677.274999999994</v>
      </c>
      <c r="N237" s="329">
        <f t="shared" si="152"/>
        <v>367363.35</v>
      </c>
      <c r="O237" s="330">
        <f t="shared" ref="O237:O242" si="156">N237*12</f>
        <v>4408360.1999999993</v>
      </c>
    </row>
    <row r="238" spans="1:15" ht="22.5" customHeight="1" x14ac:dyDescent="0.35">
      <c r="A238" s="331">
        <v>6</v>
      </c>
      <c r="B238" s="1175" t="s">
        <v>103</v>
      </c>
      <c r="C238" s="1175"/>
      <c r="D238" s="1175"/>
      <c r="E238" s="1175"/>
      <c r="F238" s="32">
        <v>2</v>
      </c>
      <c r="G238" s="302">
        <v>3</v>
      </c>
      <c r="H238" s="328">
        <v>11896</v>
      </c>
      <c r="I238" s="328">
        <f t="shared" si="147"/>
        <v>23792</v>
      </c>
      <c r="J238" s="297">
        <f t="shared" si="148"/>
        <v>2974</v>
      </c>
      <c r="K238" s="329">
        <f t="shared" si="154"/>
        <v>16654.399999999998</v>
      </c>
      <c r="L238" s="297">
        <f t="shared" si="150"/>
        <v>21710.199999999997</v>
      </c>
      <c r="M238" s="329">
        <f t="shared" si="155"/>
        <v>21710.199999999997</v>
      </c>
      <c r="N238" s="329">
        <f t="shared" si="152"/>
        <v>83866.799999999988</v>
      </c>
      <c r="O238" s="330">
        <f t="shared" si="156"/>
        <v>1006401.5999999999</v>
      </c>
    </row>
    <row r="239" spans="1:15" ht="22.5" customHeight="1" x14ac:dyDescent="0.35">
      <c r="A239" s="331">
        <v>7</v>
      </c>
      <c r="B239" s="1175" t="s">
        <v>104</v>
      </c>
      <c r="C239" s="1175"/>
      <c r="D239" s="1175"/>
      <c r="E239" s="1175"/>
      <c r="F239" s="32">
        <v>4</v>
      </c>
      <c r="G239" s="302">
        <v>4</v>
      </c>
      <c r="H239" s="311">
        <v>13383</v>
      </c>
      <c r="I239" s="328">
        <f t="shared" si="147"/>
        <v>53532</v>
      </c>
      <c r="J239" s="297">
        <f t="shared" si="148"/>
        <v>3345.75</v>
      </c>
      <c r="K239" s="329">
        <f>I239*0.7</f>
        <v>37472.399999999994</v>
      </c>
      <c r="L239" s="297">
        <f t="shared" si="150"/>
        <v>47175.074999999997</v>
      </c>
      <c r="M239" s="329">
        <f t="shared" si="155"/>
        <v>47175.074999999997</v>
      </c>
      <c r="N239" s="329">
        <f t="shared" si="152"/>
        <v>185354.55</v>
      </c>
      <c r="O239" s="330">
        <f t="shared" si="156"/>
        <v>2224254.5999999996</v>
      </c>
    </row>
    <row r="240" spans="1:15" ht="22.5" customHeight="1" x14ac:dyDescent="0.35">
      <c r="A240" s="333">
        <v>8</v>
      </c>
      <c r="B240" s="1175" t="s">
        <v>1457</v>
      </c>
      <c r="C240" s="1175"/>
      <c r="D240" s="1175"/>
      <c r="E240" s="1175"/>
      <c r="F240" s="334">
        <v>1</v>
      </c>
      <c r="G240" s="335">
        <v>2</v>
      </c>
      <c r="H240" s="332">
        <v>10502</v>
      </c>
      <c r="I240" s="332">
        <v>8372</v>
      </c>
      <c r="J240" s="297">
        <f t="shared" si="148"/>
        <v>2625.5</v>
      </c>
      <c r="K240" s="329">
        <f t="shared" ref="K240:K242" si="157">I240*0.7</f>
        <v>5860.4</v>
      </c>
      <c r="L240" s="297">
        <f t="shared" si="150"/>
        <v>8428.9500000000007</v>
      </c>
      <c r="M240" s="329">
        <f t="shared" si="155"/>
        <v>8428.9500000000007</v>
      </c>
      <c r="N240" s="329">
        <f t="shared" si="152"/>
        <v>31090.3</v>
      </c>
      <c r="O240" s="330">
        <f t="shared" si="156"/>
        <v>373083.6</v>
      </c>
    </row>
    <row r="241" spans="1:15" ht="22.5" customHeight="1" x14ac:dyDescent="0.35">
      <c r="A241" s="333">
        <v>9</v>
      </c>
      <c r="B241" s="1175" t="s">
        <v>1458</v>
      </c>
      <c r="C241" s="1175"/>
      <c r="D241" s="1175"/>
      <c r="E241" s="1175"/>
      <c r="F241" s="334">
        <v>2</v>
      </c>
      <c r="G241" s="335">
        <v>4</v>
      </c>
      <c r="H241" s="311">
        <v>13383</v>
      </c>
      <c r="I241" s="332">
        <v>8372</v>
      </c>
      <c r="J241" s="297">
        <f t="shared" si="148"/>
        <v>3345.75</v>
      </c>
      <c r="K241" s="329">
        <f t="shared" si="157"/>
        <v>5860.4</v>
      </c>
      <c r="L241" s="297">
        <f t="shared" si="150"/>
        <v>8789.0750000000007</v>
      </c>
      <c r="M241" s="329">
        <f t="shared" si="155"/>
        <v>8789.0750000000007</v>
      </c>
      <c r="N241" s="329">
        <f t="shared" si="152"/>
        <v>31810.55</v>
      </c>
      <c r="O241" s="330">
        <f t="shared" si="156"/>
        <v>381726.6</v>
      </c>
    </row>
    <row r="242" spans="1:15" x14ac:dyDescent="0.35">
      <c r="A242" s="333">
        <v>10</v>
      </c>
      <c r="B242" s="970" t="s">
        <v>1448</v>
      </c>
      <c r="C242" s="971"/>
      <c r="D242" s="971"/>
      <c r="E242" s="1007"/>
      <c r="F242" s="334">
        <v>4</v>
      </c>
      <c r="G242" s="335">
        <v>2</v>
      </c>
      <c r="H242" s="332">
        <v>10502</v>
      </c>
      <c r="I242" s="332">
        <v>7928</v>
      </c>
      <c r="J242" s="297">
        <f t="shared" si="148"/>
        <v>2625.5</v>
      </c>
      <c r="K242" s="329">
        <f t="shared" si="157"/>
        <v>5549.5999999999995</v>
      </c>
      <c r="L242" s="297">
        <f t="shared" si="150"/>
        <v>8051.5499999999993</v>
      </c>
      <c r="M242" s="329">
        <f t="shared" si="155"/>
        <v>8051.5499999999993</v>
      </c>
      <c r="N242" s="329">
        <f t="shared" si="152"/>
        <v>29580.699999999997</v>
      </c>
      <c r="O242" s="330">
        <f t="shared" si="156"/>
        <v>354968.39999999997</v>
      </c>
    </row>
    <row r="243" spans="1:15" ht="15" thickBot="1" x14ac:dyDescent="0.4">
      <c r="A243" s="336">
        <v>11</v>
      </c>
      <c r="B243" s="337" t="s">
        <v>19</v>
      </c>
      <c r="C243" s="338"/>
      <c r="D243" s="338"/>
      <c r="E243" s="339"/>
      <c r="F243" s="334">
        <v>2</v>
      </c>
      <c r="G243" s="334">
        <v>4</v>
      </c>
      <c r="H243" s="311">
        <v>13383</v>
      </c>
      <c r="I243" s="336">
        <f>F243*H243</f>
        <v>26766</v>
      </c>
      <c r="J243" s="297">
        <f t="shared" si="148"/>
        <v>3345.75</v>
      </c>
      <c r="K243" s="340">
        <f>I243*0.6</f>
        <v>16059.599999999999</v>
      </c>
      <c r="L243" s="297">
        <f t="shared" si="150"/>
        <v>23085.674999999999</v>
      </c>
      <c r="M243" s="340">
        <f t="shared" si="155"/>
        <v>23085.674999999999</v>
      </c>
      <c r="N243" s="340">
        <f>I243+K243+L243+M243</f>
        <v>88996.95</v>
      </c>
      <c r="O243" s="341">
        <f>N243*12</f>
        <v>1067963.3999999999</v>
      </c>
    </row>
    <row r="244" spans="1:15" ht="15" thickBot="1" x14ac:dyDescent="0.4">
      <c r="A244" s="1047" t="s">
        <v>84</v>
      </c>
      <c r="B244" s="1048"/>
      <c r="C244" s="1048"/>
      <c r="D244" s="1048"/>
      <c r="E244" s="1167"/>
      <c r="F244" s="342">
        <f>SUM(F232:F243)</f>
        <v>37</v>
      </c>
      <c r="G244" s="343"/>
      <c r="H244" s="793">
        <f>SUM(H232:H243)</f>
        <v>149258</v>
      </c>
      <c r="I244" s="344">
        <f t="shared" ref="I244" si="158">SUM(I232:I243)</f>
        <v>413523</v>
      </c>
      <c r="J244" s="344">
        <f t="shared" ref="J244" si="159">SUM(J232:J243)</f>
        <v>37314.5</v>
      </c>
      <c r="K244" s="344">
        <f>SUM(K232:K243)</f>
        <v>286789.49999999994</v>
      </c>
      <c r="L244" s="344">
        <f>SUM(L232:L243)</f>
        <v>368813.5</v>
      </c>
      <c r="M244" s="344">
        <f>SUM(M232:M243)</f>
        <v>368813.5</v>
      </c>
      <c r="N244" s="344">
        <f>SUM(N232:N243)</f>
        <v>1437939.5</v>
      </c>
      <c r="O244" s="345">
        <f>SUM(O232:O243)</f>
        <v>17255273.999999996</v>
      </c>
    </row>
    <row r="245" spans="1:15" ht="15" thickBot="1" x14ac:dyDescent="0.4">
      <c r="A245" s="788"/>
      <c r="B245" s="780"/>
      <c r="C245" s="782"/>
      <c r="D245" s="782"/>
      <c r="E245" s="782"/>
      <c r="F245" s="782"/>
      <c r="G245" s="783"/>
      <c r="H245" s="784"/>
      <c r="I245" s="784"/>
      <c r="J245" s="784"/>
      <c r="K245" s="785"/>
      <c r="L245" s="785"/>
      <c r="M245" s="781"/>
      <c r="N245" s="781"/>
      <c r="O245" s="789"/>
    </row>
    <row r="246" spans="1:15" ht="15" thickBot="1" x14ac:dyDescent="0.4">
      <c r="A246" s="1172" t="s">
        <v>1461</v>
      </c>
      <c r="B246" s="1173"/>
      <c r="C246" s="1173"/>
      <c r="D246" s="1173"/>
      <c r="E246" s="1173"/>
      <c r="F246" s="1173"/>
      <c r="G246" s="1173"/>
      <c r="H246" s="1173"/>
      <c r="I246" s="1173"/>
      <c r="J246" s="1173"/>
      <c r="K246" s="1173"/>
      <c r="L246" s="1173"/>
      <c r="M246" s="1173"/>
      <c r="N246" s="1173"/>
      <c r="O246" s="1174"/>
    </row>
    <row r="247" spans="1:15" ht="15" thickBot="1" x14ac:dyDescent="0.4">
      <c r="A247" s="1142" t="s">
        <v>0</v>
      </c>
      <c r="B247" s="1168" t="s">
        <v>1</v>
      </c>
      <c r="C247" s="1156"/>
      <c r="D247" s="1156"/>
      <c r="E247" s="1169"/>
      <c r="F247" s="1142" t="s">
        <v>75</v>
      </c>
      <c r="G247" s="1144" t="s">
        <v>76</v>
      </c>
      <c r="H247" s="1142" t="s">
        <v>77</v>
      </c>
      <c r="I247" s="1161" t="s">
        <v>78</v>
      </c>
      <c r="J247" s="1161"/>
      <c r="K247" s="1162"/>
      <c r="L247" s="1162"/>
      <c r="M247" s="1162"/>
      <c r="N247" s="1163"/>
      <c r="O247" s="1150" t="s">
        <v>79</v>
      </c>
    </row>
    <row r="248" spans="1:15" ht="20.5" thickBot="1" x14ac:dyDescent="0.4">
      <c r="A248" s="1143"/>
      <c r="B248" s="1170"/>
      <c r="C248" s="1159"/>
      <c r="D248" s="1159"/>
      <c r="E248" s="1171"/>
      <c r="F248" s="1143"/>
      <c r="G248" s="1145"/>
      <c r="H248" s="1143"/>
      <c r="I248" s="346" t="s">
        <v>80</v>
      </c>
      <c r="J248" s="307" t="s">
        <v>1468</v>
      </c>
      <c r="K248" s="307" t="s">
        <v>81</v>
      </c>
      <c r="L248" s="307" t="s">
        <v>82</v>
      </c>
      <c r="M248" s="307" t="s">
        <v>83</v>
      </c>
      <c r="N248" s="324" t="s">
        <v>84</v>
      </c>
      <c r="O248" s="1151"/>
    </row>
    <row r="249" spans="1:15" ht="15" thickBot="1" x14ac:dyDescent="0.4">
      <c r="A249" s="804">
        <v>1</v>
      </c>
      <c r="B249" s="1164" t="s">
        <v>1449</v>
      </c>
      <c r="C249" s="1165"/>
      <c r="D249" s="1165"/>
      <c r="E249" s="1166"/>
      <c r="F249" s="805">
        <v>4</v>
      </c>
      <c r="G249" s="806">
        <v>4</v>
      </c>
      <c r="H249" s="807">
        <v>13383</v>
      </c>
      <c r="I249" s="808">
        <f>H249*F249</f>
        <v>53532</v>
      </c>
      <c r="J249" s="297">
        <f>H249*25%</f>
        <v>3345.75</v>
      </c>
      <c r="K249" s="809">
        <f t="shared" ref="K249" si="160">I249*0.7</f>
        <v>37472.399999999994</v>
      </c>
      <c r="L249" s="809">
        <f t="shared" ref="L249" si="161">(I249+J249+K249)*0.5</f>
        <v>47175.074999999997</v>
      </c>
      <c r="M249" s="809">
        <f>L249</f>
        <v>47175.074999999997</v>
      </c>
      <c r="N249" s="809">
        <f>I249+K249+L249+M249</f>
        <v>185354.55</v>
      </c>
      <c r="O249" s="810">
        <f>N249*12</f>
        <v>2224254.5999999996</v>
      </c>
    </row>
    <row r="250" spans="1:15" ht="15" thickBot="1" x14ac:dyDescent="0.4">
      <c r="A250" s="1047" t="s">
        <v>84</v>
      </c>
      <c r="B250" s="1048"/>
      <c r="C250" s="1048"/>
      <c r="D250" s="1048"/>
      <c r="E250" s="1167"/>
      <c r="F250" s="342">
        <v>4</v>
      </c>
      <c r="G250" s="343"/>
      <c r="H250" s="793">
        <f>SUM(H249)</f>
        <v>13383</v>
      </c>
      <c r="I250" s="793">
        <f t="shared" ref="I250" si="162">SUM(I249)</f>
        <v>53532</v>
      </c>
      <c r="J250" s="793">
        <f t="shared" ref="J250" si="163">SUM(J249)</f>
        <v>3345.75</v>
      </c>
      <c r="K250" s="793">
        <f t="shared" ref="K250" si="164">SUM(K249)</f>
        <v>37472.399999999994</v>
      </c>
      <c r="L250" s="793">
        <f t="shared" ref="L250" si="165">SUM(L249)</f>
        <v>47175.074999999997</v>
      </c>
      <c r="M250" s="793">
        <f t="shared" ref="M250" si="166">SUM(M249)</f>
        <v>47175.074999999997</v>
      </c>
      <c r="N250" s="793">
        <f t="shared" ref="N250" si="167">SUM(N249)</f>
        <v>185354.55</v>
      </c>
      <c r="O250" s="811">
        <f t="shared" ref="O250" si="168">SUM(O249)</f>
        <v>2224254.5999999996</v>
      </c>
    </row>
    <row r="251" spans="1:15" x14ac:dyDescent="0.35">
      <c r="A251" s="788"/>
      <c r="B251" s="780"/>
      <c r="C251" s="780"/>
      <c r="D251" s="780"/>
      <c r="E251" s="780"/>
      <c r="F251" s="780"/>
      <c r="G251" s="786"/>
      <c r="H251" s="787"/>
      <c r="I251" s="787"/>
      <c r="J251" s="787"/>
      <c r="K251" s="781"/>
      <c r="L251" s="781"/>
      <c r="M251" s="781"/>
      <c r="N251" s="781"/>
      <c r="O251" s="789"/>
    </row>
    <row r="252" spans="1:15" ht="15" thickBot="1" x14ac:dyDescent="0.4">
      <c r="A252" s="790"/>
      <c r="B252" s="791"/>
      <c r="C252" s="290" t="s">
        <v>20</v>
      </c>
      <c r="D252" s="290"/>
      <c r="E252" s="290"/>
      <c r="F252" s="290"/>
      <c r="G252" s="290"/>
      <c r="H252" s="290"/>
      <c r="I252" s="290"/>
      <c r="J252" s="290"/>
      <c r="K252" s="290"/>
      <c r="L252" s="290"/>
      <c r="M252" s="791"/>
      <c r="N252" s="791"/>
      <c r="O252" s="792"/>
    </row>
    <row r="253" spans="1:15" ht="15" thickBot="1" x14ac:dyDescent="0.4">
      <c r="A253" s="1142" t="s">
        <v>0</v>
      </c>
      <c r="B253" s="1168" t="s">
        <v>1</v>
      </c>
      <c r="C253" s="1156"/>
      <c r="D253" s="1156"/>
      <c r="E253" s="1169"/>
      <c r="F253" s="1142" t="s">
        <v>75</v>
      </c>
      <c r="G253" s="1144" t="s">
        <v>76</v>
      </c>
      <c r="H253" s="1142" t="s">
        <v>77</v>
      </c>
      <c r="I253" s="1161" t="s">
        <v>78</v>
      </c>
      <c r="J253" s="1161"/>
      <c r="K253" s="1162"/>
      <c r="L253" s="1162"/>
      <c r="M253" s="1162"/>
      <c r="N253" s="1163"/>
      <c r="O253" s="1150" t="s">
        <v>79</v>
      </c>
    </row>
    <row r="254" spans="1:15" ht="20.5" thickBot="1" x14ac:dyDescent="0.4">
      <c r="A254" s="1143"/>
      <c r="B254" s="1170"/>
      <c r="C254" s="1159"/>
      <c r="D254" s="1159"/>
      <c r="E254" s="1171"/>
      <c r="F254" s="1143"/>
      <c r="G254" s="1145"/>
      <c r="H254" s="1143"/>
      <c r="I254" s="346" t="s">
        <v>80</v>
      </c>
      <c r="J254" s="307" t="s">
        <v>1468</v>
      </c>
      <c r="K254" s="307" t="s">
        <v>81</v>
      </c>
      <c r="L254" s="307" t="s">
        <v>82</v>
      </c>
      <c r="M254" s="307" t="s">
        <v>83</v>
      </c>
      <c r="N254" s="324" t="s">
        <v>84</v>
      </c>
      <c r="O254" s="1151"/>
    </row>
    <row r="255" spans="1:15" x14ac:dyDescent="0.35">
      <c r="A255" s="347">
        <v>1</v>
      </c>
      <c r="B255" s="999" t="s">
        <v>108</v>
      </c>
      <c r="C255" s="1000"/>
      <c r="D255" s="1000"/>
      <c r="E255" s="1000"/>
      <c r="F255" s="348">
        <v>1</v>
      </c>
      <c r="G255" s="762">
        <v>3</v>
      </c>
      <c r="H255" s="328">
        <v>11896</v>
      </c>
      <c r="I255" s="296">
        <f>H255*F255</f>
        <v>11896</v>
      </c>
      <c r="J255" s="297">
        <f t="shared" ref="J255:J268" si="169">H255*25%</f>
        <v>2974</v>
      </c>
      <c r="K255" s="349">
        <f t="shared" ref="K255:K266" si="170">I255*0.7</f>
        <v>8327.1999999999989</v>
      </c>
      <c r="L255" s="297">
        <f t="shared" ref="L255:L268" si="171">(I255+J255+K255)*0.5</f>
        <v>11598.599999999999</v>
      </c>
      <c r="M255" s="297">
        <f>L255</f>
        <v>11598.599999999999</v>
      </c>
      <c r="N255" s="297">
        <f>I255+K255+L255+M255</f>
        <v>43420.399999999994</v>
      </c>
      <c r="O255" s="298">
        <f>N255*12</f>
        <v>521044.79999999993</v>
      </c>
    </row>
    <row r="256" spans="1:15" x14ac:dyDescent="0.35">
      <c r="A256" s="331">
        <v>2</v>
      </c>
      <c r="B256" s="970" t="s">
        <v>21</v>
      </c>
      <c r="C256" s="971"/>
      <c r="D256" s="971"/>
      <c r="E256" s="971"/>
      <c r="F256" s="32">
        <v>1</v>
      </c>
      <c r="G256" s="758">
        <v>3</v>
      </c>
      <c r="H256" s="328">
        <v>11896</v>
      </c>
      <c r="I256" s="296">
        <f>H256*F256</f>
        <v>11896</v>
      </c>
      <c r="J256" s="297">
        <f t="shared" si="169"/>
        <v>2974</v>
      </c>
      <c r="K256" s="313">
        <f t="shared" si="170"/>
        <v>8327.1999999999989</v>
      </c>
      <c r="L256" s="297">
        <f t="shared" si="171"/>
        <v>11598.599999999999</v>
      </c>
      <c r="M256" s="313">
        <f t="shared" ref="M256:M268" si="172">L256</f>
        <v>11598.599999999999</v>
      </c>
      <c r="N256" s="313">
        <f t="shared" ref="N256:N268" si="173">I256+K256+L256+M256</f>
        <v>43420.399999999994</v>
      </c>
      <c r="O256" s="350">
        <f t="shared" ref="O256:O268" si="174">N256*12</f>
        <v>521044.79999999993</v>
      </c>
    </row>
    <row r="257" spans="1:15" x14ac:dyDescent="0.35">
      <c r="A257" s="331">
        <v>3</v>
      </c>
      <c r="B257" s="970" t="s">
        <v>1104</v>
      </c>
      <c r="C257" s="971"/>
      <c r="D257" s="971"/>
      <c r="E257" s="971"/>
      <c r="F257" s="32">
        <v>1</v>
      </c>
      <c r="G257" s="302">
        <v>5</v>
      </c>
      <c r="H257" s="332">
        <v>15149</v>
      </c>
      <c r="I257" s="296">
        <f>H257*F257</f>
        <v>15149</v>
      </c>
      <c r="J257" s="297">
        <f t="shared" si="169"/>
        <v>3787.25</v>
      </c>
      <c r="K257" s="313">
        <f t="shared" si="170"/>
        <v>10604.3</v>
      </c>
      <c r="L257" s="297">
        <f t="shared" si="171"/>
        <v>14770.275</v>
      </c>
      <c r="M257" s="313">
        <f t="shared" si="172"/>
        <v>14770.275</v>
      </c>
      <c r="N257" s="313">
        <f t="shared" si="173"/>
        <v>55293.85</v>
      </c>
      <c r="O257" s="350">
        <f t="shared" si="174"/>
        <v>663526.19999999995</v>
      </c>
    </row>
    <row r="258" spans="1:15" x14ac:dyDescent="0.35">
      <c r="A258" s="331">
        <v>4</v>
      </c>
      <c r="B258" s="970" t="s">
        <v>1105</v>
      </c>
      <c r="C258" s="971"/>
      <c r="D258" s="971"/>
      <c r="E258" s="971"/>
      <c r="F258" s="32">
        <v>1</v>
      </c>
      <c r="G258" s="302">
        <v>5</v>
      </c>
      <c r="H258" s="332">
        <v>15149</v>
      </c>
      <c r="I258" s="296">
        <f t="shared" ref="I258:I265" si="175">F258*H258</f>
        <v>15149</v>
      </c>
      <c r="J258" s="297">
        <f t="shared" si="169"/>
        <v>3787.25</v>
      </c>
      <c r="K258" s="313">
        <f t="shared" si="170"/>
        <v>10604.3</v>
      </c>
      <c r="L258" s="297">
        <f t="shared" si="171"/>
        <v>14770.275</v>
      </c>
      <c r="M258" s="313">
        <f t="shared" si="172"/>
        <v>14770.275</v>
      </c>
      <c r="N258" s="313">
        <f t="shared" si="173"/>
        <v>55293.85</v>
      </c>
      <c r="O258" s="350">
        <f t="shared" si="174"/>
        <v>663526.19999999995</v>
      </c>
    </row>
    <row r="259" spans="1:15" x14ac:dyDescent="0.35">
      <c r="A259" s="331">
        <v>5</v>
      </c>
      <c r="B259" s="970" t="s">
        <v>22</v>
      </c>
      <c r="C259" s="971"/>
      <c r="D259" s="971"/>
      <c r="E259" s="971"/>
      <c r="F259" s="32">
        <v>1</v>
      </c>
      <c r="G259" s="302">
        <v>4</v>
      </c>
      <c r="H259" s="311">
        <v>13383</v>
      </c>
      <c r="I259" s="296">
        <f t="shared" si="175"/>
        <v>13383</v>
      </c>
      <c r="J259" s="297">
        <f t="shared" si="169"/>
        <v>3345.75</v>
      </c>
      <c r="K259" s="351">
        <f t="shared" si="170"/>
        <v>9368.0999999999985</v>
      </c>
      <c r="L259" s="297">
        <f t="shared" si="171"/>
        <v>13048.424999999999</v>
      </c>
      <c r="M259" s="351">
        <f t="shared" si="172"/>
        <v>13048.424999999999</v>
      </c>
      <c r="N259" s="351">
        <f t="shared" si="173"/>
        <v>48847.95</v>
      </c>
      <c r="O259" s="352">
        <f t="shared" si="174"/>
        <v>586175.39999999991</v>
      </c>
    </row>
    <row r="260" spans="1:15" x14ac:dyDescent="0.35">
      <c r="A260" s="331">
        <v>6</v>
      </c>
      <c r="B260" s="970" t="s">
        <v>889</v>
      </c>
      <c r="C260" s="971"/>
      <c r="D260" s="971"/>
      <c r="E260" s="971"/>
      <c r="F260" s="32">
        <v>1</v>
      </c>
      <c r="G260" s="775">
        <v>4</v>
      </c>
      <c r="H260" s="311">
        <v>13383</v>
      </c>
      <c r="I260" s="296">
        <f t="shared" si="175"/>
        <v>13383</v>
      </c>
      <c r="J260" s="297">
        <f t="shared" si="169"/>
        <v>3345.75</v>
      </c>
      <c r="K260" s="351">
        <f t="shared" si="170"/>
        <v>9368.0999999999985</v>
      </c>
      <c r="L260" s="297">
        <f t="shared" si="171"/>
        <v>13048.424999999999</v>
      </c>
      <c r="M260" s="351">
        <f t="shared" si="172"/>
        <v>13048.424999999999</v>
      </c>
      <c r="N260" s="351">
        <f t="shared" si="173"/>
        <v>48847.95</v>
      </c>
      <c r="O260" s="352">
        <f t="shared" si="174"/>
        <v>586175.39999999991</v>
      </c>
    </row>
    <row r="261" spans="1:15" x14ac:dyDescent="0.35">
      <c r="A261" s="331">
        <v>7</v>
      </c>
      <c r="B261" s="759" t="s">
        <v>1339</v>
      </c>
      <c r="C261" s="760"/>
      <c r="D261" s="760"/>
      <c r="E261" s="760"/>
      <c r="F261" s="32">
        <v>1</v>
      </c>
      <c r="G261" s="775">
        <v>4</v>
      </c>
      <c r="H261" s="332">
        <v>13383</v>
      </c>
      <c r="I261" s="296">
        <f t="shared" si="175"/>
        <v>13383</v>
      </c>
      <c r="J261" s="297">
        <f t="shared" si="169"/>
        <v>3345.75</v>
      </c>
      <c r="K261" s="351">
        <f t="shared" si="170"/>
        <v>9368.0999999999985</v>
      </c>
      <c r="L261" s="297">
        <f t="shared" si="171"/>
        <v>13048.424999999999</v>
      </c>
      <c r="M261" s="351">
        <f t="shared" si="172"/>
        <v>13048.424999999999</v>
      </c>
      <c r="N261" s="351">
        <f t="shared" si="173"/>
        <v>48847.95</v>
      </c>
      <c r="O261" s="352">
        <f t="shared" si="174"/>
        <v>586175.39999999991</v>
      </c>
    </row>
    <row r="262" spans="1:15" x14ac:dyDescent="0.35">
      <c r="A262" s="331">
        <v>8</v>
      </c>
      <c r="B262" s="759" t="s">
        <v>890</v>
      </c>
      <c r="C262" s="760"/>
      <c r="D262" s="760"/>
      <c r="E262" s="760"/>
      <c r="F262" s="32">
        <v>1</v>
      </c>
      <c r="G262" s="775">
        <v>4</v>
      </c>
      <c r="H262" s="311">
        <v>13383</v>
      </c>
      <c r="I262" s="296">
        <f t="shared" si="175"/>
        <v>13383</v>
      </c>
      <c r="J262" s="297">
        <f t="shared" si="169"/>
        <v>3345.75</v>
      </c>
      <c r="K262" s="351">
        <f t="shared" si="170"/>
        <v>9368.0999999999985</v>
      </c>
      <c r="L262" s="297">
        <f t="shared" si="171"/>
        <v>13048.424999999999</v>
      </c>
      <c r="M262" s="351">
        <f t="shared" si="172"/>
        <v>13048.424999999999</v>
      </c>
      <c r="N262" s="351">
        <f t="shared" si="173"/>
        <v>48847.95</v>
      </c>
      <c r="O262" s="352">
        <f t="shared" si="174"/>
        <v>586175.39999999991</v>
      </c>
    </row>
    <row r="263" spans="1:15" x14ac:dyDescent="0.35">
      <c r="A263" s="331">
        <v>9</v>
      </c>
      <c r="B263" s="970" t="s">
        <v>1106</v>
      </c>
      <c r="C263" s="971"/>
      <c r="D263" s="971"/>
      <c r="E263" s="971"/>
      <c r="F263" s="32">
        <v>1</v>
      </c>
      <c r="G263" s="758">
        <v>5</v>
      </c>
      <c r="H263" s="332">
        <v>15149</v>
      </c>
      <c r="I263" s="296">
        <f t="shared" si="175"/>
        <v>15149</v>
      </c>
      <c r="J263" s="297">
        <f t="shared" si="169"/>
        <v>3787.25</v>
      </c>
      <c r="K263" s="313">
        <f t="shared" si="170"/>
        <v>10604.3</v>
      </c>
      <c r="L263" s="297">
        <f t="shared" si="171"/>
        <v>14770.275</v>
      </c>
      <c r="M263" s="313">
        <f t="shared" si="172"/>
        <v>14770.275</v>
      </c>
      <c r="N263" s="313">
        <f t="shared" si="173"/>
        <v>55293.85</v>
      </c>
      <c r="O263" s="350">
        <f t="shared" si="174"/>
        <v>663526.19999999995</v>
      </c>
    </row>
    <row r="264" spans="1:15" x14ac:dyDescent="0.35">
      <c r="A264" s="331">
        <v>10</v>
      </c>
      <c r="B264" s="970" t="s">
        <v>23</v>
      </c>
      <c r="C264" s="971"/>
      <c r="D264" s="971"/>
      <c r="E264" s="971"/>
      <c r="F264" s="32">
        <v>1</v>
      </c>
      <c r="G264" s="302">
        <v>4</v>
      </c>
      <c r="H264" s="311">
        <v>13383</v>
      </c>
      <c r="I264" s="296">
        <f t="shared" si="175"/>
        <v>13383</v>
      </c>
      <c r="J264" s="297">
        <f t="shared" si="169"/>
        <v>3345.75</v>
      </c>
      <c r="K264" s="313">
        <f t="shared" si="170"/>
        <v>9368.0999999999985</v>
      </c>
      <c r="L264" s="297">
        <f t="shared" si="171"/>
        <v>13048.424999999999</v>
      </c>
      <c r="M264" s="313">
        <f t="shared" si="172"/>
        <v>13048.424999999999</v>
      </c>
      <c r="N264" s="313">
        <f t="shared" si="173"/>
        <v>48847.95</v>
      </c>
      <c r="O264" s="350">
        <f t="shared" si="174"/>
        <v>586175.39999999991</v>
      </c>
    </row>
    <row r="265" spans="1:15" x14ac:dyDescent="0.35">
      <c r="A265" s="331">
        <v>11</v>
      </c>
      <c r="B265" s="970" t="s">
        <v>24</v>
      </c>
      <c r="C265" s="971"/>
      <c r="D265" s="971"/>
      <c r="E265" s="971"/>
      <c r="F265" s="32">
        <v>1</v>
      </c>
      <c r="G265" s="302">
        <v>5</v>
      </c>
      <c r="H265" s="332">
        <v>15149</v>
      </c>
      <c r="I265" s="296">
        <f t="shared" si="175"/>
        <v>15149</v>
      </c>
      <c r="J265" s="297">
        <f t="shared" si="169"/>
        <v>3787.25</v>
      </c>
      <c r="K265" s="351">
        <f t="shared" si="170"/>
        <v>10604.3</v>
      </c>
      <c r="L265" s="297">
        <f t="shared" si="171"/>
        <v>14770.275</v>
      </c>
      <c r="M265" s="351">
        <f t="shared" si="172"/>
        <v>14770.275</v>
      </c>
      <c r="N265" s="351">
        <f t="shared" si="173"/>
        <v>55293.85</v>
      </c>
      <c r="O265" s="352">
        <f t="shared" si="174"/>
        <v>663526.19999999995</v>
      </c>
    </row>
    <row r="266" spans="1:15" x14ac:dyDescent="0.35">
      <c r="A266" s="331">
        <v>12</v>
      </c>
      <c r="B266" s="970" t="s">
        <v>1455</v>
      </c>
      <c r="C266" s="971"/>
      <c r="D266" s="971"/>
      <c r="E266" s="971"/>
      <c r="F266" s="32">
        <v>3</v>
      </c>
      <c r="G266" s="302">
        <v>4</v>
      </c>
      <c r="H266" s="311">
        <v>13383</v>
      </c>
      <c r="I266" s="296">
        <f>F266*H266</f>
        <v>40149</v>
      </c>
      <c r="J266" s="297">
        <f t="shared" si="169"/>
        <v>3345.75</v>
      </c>
      <c r="K266" s="313">
        <f t="shared" si="170"/>
        <v>28104.3</v>
      </c>
      <c r="L266" s="297">
        <f t="shared" si="171"/>
        <v>35799.525000000001</v>
      </c>
      <c r="M266" s="313">
        <f t="shared" si="172"/>
        <v>35799.525000000001</v>
      </c>
      <c r="N266" s="313">
        <f t="shared" si="173"/>
        <v>139852.35</v>
      </c>
      <c r="O266" s="350">
        <f t="shared" si="174"/>
        <v>1678228.2000000002</v>
      </c>
    </row>
    <row r="267" spans="1:15" x14ac:dyDescent="0.35">
      <c r="A267" s="331">
        <v>13</v>
      </c>
      <c r="B267" s="970" t="s">
        <v>1456</v>
      </c>
      <c r="C267" s="971"/>
      <c r="D267" s="971"/>
      <c r="E267" s="971"/>
      <c r="F267" s="32">
        <v>3</v>
      </c>
      <c r="G267" s="32">
        <v>4</v>
      </c>
      <c r="H267" s="311">
        <v>13383</v>
      </c>
      <c r="I267" s="39">
        <f>F267*H267</f>
        <v>40149</v>
      </c>
      <c r="J267" s="297">
        <f t="shared" si="169"/>
        <v>3345.75</v>
      </c>
      <c r="K267" s="39">
        <f>I267*0.75</f>
        <v>30111.75</v>
      </c>
      <c r="L267" s="297">
        <f t="shared" si="171"/>
        <v>36803.25</v>
      </c>
      <c r="M267" s="313">
        <f t="shared" si="172"/>
        <v>36803.25</v>
      </c>
      <c r="N267" s="313">
        <f t="shared" si="173"/>
        <v>143867.25</v>
      </c>
      <c r="O267" s="313">
        <f t="shared" si="174"/>
        <v>1726407</v>
      </c>
    </row>
    <row r="268" spans="1:15" ht="15" thickBot="1" x14ac:dyDescent="0.4">
      <c r="A268" s="331">
        <v>14</v>
      </c>
      <c r="B268" s="970" t="s">
        <v>17</v>
      </c>
      <c r="C268" s="971"/>
      <c r="D268" s="971"/>
      <c r="E268" s="971"/>
      <c r="F268" s="32">
        <v>1</v>
      </c>
      <c r="G268" s="32">
        <v>9</v>
      </c>
      <c r="H268" s="311">
        <v>24722</v>
      </c>
      <c r="I268" s="39">
        <f>F268*H268</f>
        <v>24722</v>
      </c>
      <c r="J268" s="297">
        <f t="shared" si="169"/>
        <v>6180.5</v>
      </c>
      <c r="K268" s="39">
        <f>I268*0.75</f>
        <v>18541.5</v>
      </c>
      <c r="L268" s="297">
        <f t="shared" si="171"/>
        <v>24722</v>
      </c>
      <c r="M268" s="313">
        <f t="shared" si="172"/>
        <v>24722</v>
      </c>
      <c r="N268" s="313">
        <f t="shared" si="173"/>
        <v>92707.5</v>
      </c>
      <c r="O268" s="313">
        <f t="shared" si="174"/>
        <v>1112490</v>
      </c>
    </row>
    <row r="269" spans="1:15" ht="15" thickBot="1" x14ac:dyDescent="0.4">
      <c r="A269" s="1047" t="s">
        <v>84</v>
      </c>
      <c r="B269" s="1048"/>
      <c r="C269" s="1048"/>
      <c r="D269" s="1048"/>
      <c r="E269" s="1049"/>
      <c r="F269" s="303">
        <f>SUM(F255:F268)</f>
        <v>18</v>
      </c>
      <c r="G269" s="353"/>
      <c r="H269" s="305">
        <f t="shared" ref="H269" si="176">SUM(H255:H268)</f>
        <v>202791</v>
      </c>
      <c r="I269" s="305">
        <f t="shared" ref="I269" si="177">SUM(I255:I268)</f>
        <v>256323</v>
      </c>
      <c r="J269" s="305">
        <f t="shared" ref="J269" si="178">SUM(J255:J268)</f>
        <v>50697.75</v>
      </c>
      <c r="K269" s="305">
        <f>SUM(K255:K268)</f>
        <v>182669.65</v>
      </c>
      <c r="L269" s="305">
        <f>SUM(L255:L268)</f>
        <v>244845.19999999998</v>
      </c>
      <c r="M269" s="305">
        <f>SUM(M255:M268)</f>
        <v>244845.19999999998</v>
      </c>
      <c r="N269" s="305">
        <f>SUM(N255:N268)</f>
        <v>928683.05</v>
      </c>
      <c r="O269" s="322">
        <f>SUM(O255:O268)</f>
        <v>11144196.6</v>
      </c>
    </row>
    <row r="270" spans="1:15" ht="15" thickBot="1" x14ac:dyDescent="0.4">
      <c r="A270" s="289"/>
      <c r="B270" s="289"/>
      <c r="C270" s="306" t="s">
        <v>25</v>
      </c>
      <c r="D270" s="306"/>
      <c r="E270" s="306"/>
      <c r="F270" s="306"/>
      <c r="G270" s="306"/>
      <c r="H270" s="306"/>
      <c r="I270" s="306"/>
      <c r="J270" s="306"/>
      <c r="K270" s="306"/>
      <c r="L270" s="306"/>
      <c r="M270" s="289"/>
      <c r="N270" s="289"/>
      <c r="O270" s="289"/>
    </row>
    <row r="271" spans="1:15" ht="15" thickBot="1" x14ac:dyDescent="0.4">
      <c r="A271" s="1153" t="s">
        <v>0</v>
      </c>
      <c r="B271" s="1155" t="s">
        <v>1</v>
      </c>
      <c r="C271" s="1156"/>
      <c r="D271" s="1156"/>
      <c r="E271" s="1157"/>
      <c r="F271" s="1144" t="s">
        <v>75</v>
      </c>
      <c r="G271" s="1142" t="s">
        <v>76</v>
      </c>
      <c r="H271" s="1144" t="s">
        <v>77</v>
      </c>
      <c r="I271" s="1146" t="s">
        <v>78</v>
      </c>
      <c r="J271" s="1147"/>
      <c r="K271" s="1148"/>
      <c r="L271" s="1148"/>
      <c r="M271" s="1148"/>
      <c r="N271" s="1149"/>
      <c r="O271" s="1150" t="s">
        <v>79</v>
      </c>
    </row>
    <row r="272" spans="1:15" ht="20.5" thickBot="1" x14ac:dyDescent="0.4">
      <c r="A272" s="1154"/>
      <c r="B272" s="1158"/>
      <c r="C272" s="1159"/>
      <c r="D272" s="1159"/>
      <c r="E272" s="1160"/>
      <c r="F272" s="1145"/>
      <c r="G272" s="1143"/>
      <c r="H272" s="1145"/>
      <c r="I272" s="307" t="s">
        <v>80</v>
      </c>
      <c r="J272" s="307" t="s">
        <v>1468</v>
      </c>
      <c r="K272" s="354" t="s">
        <v>81</v>
      </c>
      <c r="L272" s="292" t="s">
        <v>82</v>
      </c>
      <c r="M272" s="771" t="s">
        <v>83</v>
      </c>
      <c r="N272" s="292" t="s">
        <v>84</v>
      </c>
      <c r="O272" s="1151"/>
    </row>
    <row r="273" spans="1:15" x14ac:dyDescent="0.35">
      <c r="A273" s="308">
        <v>1</v>
      </c>
      <c r="B273" s="1152" t="s">
        <v>33</v>
      </c>
      <c r="C273" s="1152"/>
      <c r="D273" s="1152"/>
      <c r="E273" s="1152"/>
      <c r="F273" s="355">
        <v>1</v>
      </c>
      <c r="G273" s="768">
        <v>1</v>
      </c>
      <c r="H273" s="768">
        <v>9294</v>
      </c>
      <c r="I273" s="296">
        <f>F273*H273</f>
        <v>9294</v>
      </c>
      <c r="J273" s="297">
        <f t="shared" ref="J273:J276" si="179">H273*25%</f>
        <v>2323.5</v>
      </c>
      <c r="K273" s="297">
        <f>I273*0.4</f>
        <v>3717.6000000000004</v>
      </c>
      <c r="L273" s="297">
        <f t="shared" ref="L273:L276" si="180">(I273+J273+K273)*0.5</f>
        <v>7667.55</v>
      </c>
      <c r="M273" s="297">
        <f>L273</f>
        <v>7667.55</v>
      </c>
      <c r="N273" s="297">
        <f>I273+K273+L273+M273</f>
        <v>28346.7</v>
      </c>
      <c r="O273" s="298">
        <f>N273*12</f>
        <v>340160.4</v>
      </c>
    </row>
    <row r="274" spans="1:15" x14ac:dyDescent="0.35">
      <c r="A274" s="356">
        <v>2</v>
      </c>
      <c r="B274" s="983" t="s">
        <v>27</v>
      </c>
      <c r="C274" s="984"/>
      <c r="D274" s="984"/>
      <c r="E274" s="984"/>
      <c r="F274" s="33">
        <v>2</v>
      </c>
      <c r="G274" s="758">
        <v>1</v>
      </c>
      <c r="H274" s="768">
        <v>9294</v>
      </c>
      <c r="I274" s="296">
        <f>F274*H274</f>
        <v>18588</v>
      </c>
      <c r="J274" s="297">
        <f t="shared" si="179"/>
        <v>2323.5</v>
      </c>
      <c r="K274" s="297">
        <f>I274*0.4</f>
        <v>7435.2000000000007</v>
      </c>
      <c r="L274" s="297">
        <f t="shared" si="180"/>
        <v>14173.35</v>
      </c>
      <c r="M274" s="297">
        <f>L274</f>
        <v>14173.35</v>
      </c>
      <c r="N274" s="297">
        <f>I274+K274+L274+M274</f>
        <v>54369.9</v>
      </c>
      <c r="O274" s="298">
        <f>N274*12</f>
        <v>652438.80000000005</v>
      </c>
    </row>
    <row r="275" spans="1:15" x14ac:dyDescent="0.35">
      <c r="A275" s="331">
        <v>3</v>
      </c>
      <c r="B275" s="970" t="s">
        <v>29</v>
      </c>
      <c r="C275" s="971"/>
      <c r="D275" s="971"/>
      <c r="E275" s="971"/>
      <c r="F275" s="32">
        <v>1</v>
      </c>
      <c r="G275" s="758">
        <v>2</v>
      </c>
      <c r="H275" s="758">
        <v>10502</v>
      </c>
      <c r="I275" s="296">
        <f>F275*H275</f>
        <v>10502</v>
      </c>
      <c r="J275" s="297">
        <f t="shared" si="179"/>
        <v>2625.5</v>
      </c>
      <c r="K275" s="313">
        <f>I275*0.6</f>
        <v>6301.2</v>
      </c>
      <c r="L275" s="297">
        <f t="shared" si="180"/>
        <v>9714.35</v>
      </c>
      <c r="M275" s="313">
        <f>L275</f>
        <v>9714.35</v>
      </c>
      <c r="N275" s="313">
        <f>I275+K275+L275+M275</f>
        <v>36231.9</v>
      </c>
      <c r="O275" s="350">
        <f>N275*12</f>
        <v>434782.80000000005</v>
      </c>
    </row>
    <row r="276" spans="1:15" ht="15" thickBot="1" x14ac:dyDescent="0.4">
      <c r="A276" s="357">
        <v>4</v>
      </c>
      <c r="B276" s="963" t="s">
        <v>31</v>
      </c>
      <c r="C276" s="964"/>
      <c r="D276" s="964"/>
      <c r="E276" s="964"/>
      <c r="F276" s="334">
        <v>4</v>
      </c>
      <c r="G276" s="40">
        <v>1</v>
      </c>
      <c r="H276" s="768">
        <v>9294</v>
      </c>
      <c r="I276" s="320">
        <f>F276*H276</f>
        <v>37176</v>
      </c>
      <c r="J276" s="297">
        <f t="shared" si="179"/>
        <v>2323.5</v>
      </c>
      <c r="K276" s="351">
        <f>I276*0.4</f>
        <v>14870.400000000001</v>
      </c>
      <c r="L276" s="297">
        <f t="shared" si="180"/>
        <v>27184.95</v>
      </c>
      <c r="M276" s="351">
        <f>L276</f>
        <v>27184.95</v>
      </c>
      <c r="N276" s="351">
        <f>I276+K276+L276+M276</f>
        <v>106416.3</v>
      </c>
      <c r="O276" s="352">
        <f>N276*12</f>
        <v>1276995.6000000001</v>
      </c>
    </row>
    <row r="277" spans="1:15" ht="15" thickBot="1" x14ac:dyDescent="0.4">
      <c r="A277" s="1047" t="s">
        <v>84</v>
      </c>
      <c r="B277" s="1048"/>
      <c r="C277" s="1048"/>
      <c r="D277" s="1048"/>
      <c r="E277" s="1049"/>
      <c r="F277" s="303">
        <f>SUM(F273:F276)</f>
        <v>8</v>
      </c>
      <c r="G277" s="304"/>
      <c r="H277" s="305">
        <f t="shared" ref="H277" si="181">SUM(H273:H276)</f>
        <v>38384</v>
      </c>
      <c r="I277" s="305">
        <f t="shared" ref="I277" si="182">SUM(I273:I276)</f>
        <v>75560</v>
      </c>
      <c r="J277" s="305">
        <f t="shared" ref="J277" si="183">SUM(J273:J276)</f>
        <v>9596</v>
      </c>
      <c r="K277" s="305">
        <f>SUM(K273:K276)</f>
        <v>32324.400000000001</v>
      </c>
      <c r="L277" s="305">
        <f>SUM(L273:L276)</f>
        <v>58740.2</v>
      </c>
      <c r="M277" s="305">
        <f>SUM(M273:M276)</f>
        <v>58740.2</v>
      </c>
      <c r="N277" s="305">
        <f>SUM(N273:N276)</f>
        <v>225364.8</v>
      </c>
      <c r="O277" s="322">
        <f>SUM(O273:O276)</f>
        <v>2704377.6</v>
      </c>
    </row>
    <row r="278" spans="1:15" x14ac:dyDescent="0.35">
      <c r="A278" s="566" t="s">
        <v>87</v>
      </c>
      <c r="B278" s="566"/>
      <c r="C278" s="566"/>
      <c r="D278" s="566"/>
      <c r="E278" s="289"/>
      <c r="F278" s="568">
        <f>F216+F228+F244+F269+F277+F250</f>
        <v>96</v>
      </c>
      <c r="G278" s="567"/>
      <c r="H278" s="567"/>
      <c r="I278" s="567"/>
      <c r="J278" s="567"/>
      <c r="K278" s="567"/>
      <c r="L278" s="567"/>
      <c r="M278" s="567"/>
      <c r="N278" s="567"/>
      <c r="O278" s="568">
        <f>O216+O228+O244+O269+O277+O250</f>
        <v>62554114.199999996</v>
      </c>
    </row>
    <row r="279" spans="1:15" x14ac:dyDescent="0.3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</row>
    <row r="280" spans="1:15" x14ac:dyDescent="0.35">
      <c r="A280" s="41" t="s">
        <v>885</v>
      </c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</row>
  </sheetData>
  <mergeCells count="288">
    <mergeCell ref="F28:F29"/>
    <mergeCell ref="G28:G29"/>
    <mergeCell ref="H28:H29"/>
    <mergeCell ref="I28:N28"/>
    <mergeCell ref="B20:E20"/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A5:O5"/>
    <mergeCell ref="A8:A9"/>
    <mergeCell ref="B8:E9"/>
    <mergeCell ref="F8:F9"/>
    <mergeCell ref="G8:G9"/>
    <mergeCell ref="H8:H9"/>
    <mergeCell ref="I8:N8"/>
    <mergeCell ref="O8:O9"/>
    <mergeCell ref="B15:E15"/>
    <mergeCell ref="B65:E65"/>
    <mergeCell ref="B47:E47"/>
    <mergeCell ref="B48:E48"/>
    <mergeCell ref="B49:E49"/>
    <mergeCell ref="A54:E54"/>
    <mergeCell ref="A63:A64"/>
    <mergeCell ref="B63:E64"/>
    <mergeCell ref="B35:E35"/>
    <mergeCell ref="B42:E42"/>
    <mergeCell ref="B43:E43"/>
    <mergeCell ref="B44:E44"/>
    <mergeCell ref="B46:E46"/>
    <mergeCell ref="B36:E36"/>
    <mergeCell ref="B37:E37"/>
    <mergeCell ref="A38:E38"/>
    <mergeCell ref="A40:A41"/>
    <mergeCell ref="B40:E41"/>
    <mergeCell ref="O28:O29"/>
    <mergeCell ref="A26:E26"/>
    <mergeCell ref="A28:A29"/>
    <mergeCell ref="B28:E29"/>
    <mergeCell ref="B32:E32"/>
    <mergeCell ref="B30:E30"/>
    <mergeCell ref="B31:E31"/>
    <mergeCell ref="F63:F64"/>
    <mergeCell ref="G63:G64"/>
    <mergeCell ref="H63:H64"/>
    <mergeCell ref="I63:N63"/>
    <mergeCell ref="O63:O64"/>
    <mergeCell ref="F40:F41"/>
    <mergeCell ref="G40:G41"/>
    <mergeCell ref="H40:H41"/>
    <mergeCell ref="I40:N40"/>
    <mergeCell ref="O40:O41"/>
    <mergeCell ref="A57:A58"/>
    <mergeCell ref="B57:E58"/>
    <mergeCell ref="F57:F58"/>
    <mergeCell ref="G57:G58"/>
    <mergeCell ref="H57:H58"/>
    <mergeCell ref="I57:N57"/>
    <mergeCell ref="O57:O58"/>
    <mergeCell ref="A87:E87"/>
    <mergeCell ref="A81:A82"/>
    <mergeCell ref="B81:E82"/>
    <mergeCell ref="F81:F82"/>
    <mergeCell ref="G81:G82"/>
    <mergeCell ref="A79:E79"/>
    <mergeCell ref="B66:E66"/>
    <mergeCell ref="B67:E67"/>
    <mergeCell ref="B68:E68"/>
    <mergeCell ref="B69:E69"/>
    <mergeCell ref="B73:E73"/>
    <mergeCell ref="B74:E74"/>
    <mergeCell ref="B75:E75"/>
    <mergeCell ref="B76:E76"/>
    <mergeCell ref="B78:E78"/>
    <mergeCell ref="B70:E70"/>
    <mergeCell ref="A100:O100"/>
    <mergeCell ref="A103:A104"/>
    <mergeCell ref="B103:E104"/>
    <mergeCell ref="F103:F104"/>
    <mergeCell ref="G103:G104"/>
    <mergeCell ref="H103:H104"/>
    <mergeCell ref="I103:N103"/>
    <mergeCell ref="O103:O104"/>
    <mergeCell ref="B25:E25"/>
    <mergeCell ref="B77:E77"/>
    <mergeCell ref="B50:E50"/>
    <mergeCell ref="B51:E51"/>
    <mergeCell ref="B45:E45"/>
    <mergeCell ref="B52:E52"/>
    <mergeCell ref="A56:O56"/>
    <mergeCell ref="B59:E59"/>
    <mergeCell ref="A60:E60"/>
    <mergeCell ref="O81:O82"/>
    <mergeCell ref="B83:E83"/>
    <mergeCell ref="B84:E84"/>
    <mergeCell ref="B85:E85"/>
    <mergeCell ref="B86:E86"/>
    <mergeCell ref="H81:H82"/>
    <mergeCell ref="I81:N81"/>
    <mergeCell ref="B110:E110"/>
    <mergeCell ref="B111:E111"/>
    <mergeCell ref="B112:E112"/>
    <mergeCell ref="B113:E113"/>
    <mergeCell ref="B114:E114"/>
    <mergeCell ref="B105:E105"/>
    <mergeCell ref="B106:E106"/>
    <mergeCell ref="B107:E107"/>
    <mergeCell ref="B108:E108"/>
    <mergeCell ref="B109:E109"/>
    <mergeCell ref="F123:F124"/>
    <mergeCell ref="G123:G124"/>
    <mergeCell ref="H123:H124"/>
    <mergeCell ref="I123:N123"/>
    <mergeCell ref="O123:O124"/>
    <mergeCell ref="B115:E115"/>
    <mergeCell ref="B120:E120"/>
    <mergeCell ref="A121:E121"/>
    <mergeCell ref="A123:A124"/>
    <mergeCell ref="B123:E124"/>
    <mergeCell ref="B132:E132"/>
    <mergeCell ref="A133:E133"/>
    <mergeCell ref="A135:A136"/>
    <mergeCell ref="B135:E136"/>
    <mergeCell ref="F135:F136"/>
    <mergeCell ref="B125:E125"/>
    <mergeCell ref="B126:E126"/>
    <mergeCell ref="B127:E127"/>
    <mergeCell ref="B130:E130"/>
    <mergeCell ref="B131:E131"/>
    <mergeCell ref="A149:E149"/>
    <mergeCell ref="A151:O151"/>
    <mergeCell ref="B154:E154"/>
    <mergeCell ref="A155:E155"/>
    <mergeCell ref="A158:A159"/>
    <mergeCell ref="B158:E159"/>
    <mergeCell ref="F158:F159"/>
    <mergeCell ref="G158:G159"/>
    <mergeCell ref="H158:H159"/>
    <mergeCell ref="I158:N158"/>
    <mergeCell ref="O158:O159"/>
    <mergeCell ref="A152:A153"/>
    <mergeCell ref="B152:E153"/>
    <mergeCell ref="F152:F153"/>
    <mergeCell ref="G152:G153"/>
    <mergeCell ref="H152:H153"/>
    <mergeCell ref="I152:N152"/>
    <mergeCell ref="O152:O153"/>
    <mergeCell ref="B165:E165"/>
    <mergeCell ref="B168:E168"/>
    <mergeCell ref="B169:E169"/>
    <mergeCell ref="B170:E170"/>
    <mergeCell ref="B171:E171"/>
    <mergeCell ref="B160:E160"/>
    <mergeCell ref="B161:E161"/>
    <mergeCell ref="B162:E162"/>
    <mergeCell ref="B163:E163"/>
    <mergeCell ref="B164:E164"/>
    <mergeCell ref="F176:F177"/>
    <mergeCell ref="G176:G177"/>
    <mergeCell ref="H176:H177"/>
    <mergeCell ref="I176:N176"/>
    <mergeCell ref="O176:O177"/>
    <mergeCell ref="B172:E172"/>
    <mergeCell ref="B173:E173"/>
    <mergeCell ref="A174:E174"/>
    <mergeCell ref="A176:A177"/>
    <mergeCell ref="B176:E177"/>
    <mergeCell ref="G135:G136"/>
    <mergeCell ref="H135:H136"/>
    <mergeCell ref="I135:N135"/>
    <mergeCell ref="O135:O136"/>
    <mergeCell ref="B137:E137"/>
    <mergeCell ref="B200:E200"/>
    <mergeCell ref="B201:E201"/>
    <mergeCell ref="B202:E202"/>
    <mergeCell ref="B203:E203"/>
    <mergeCell ref="B143:E143"/>
    <mergeCell ref="B144:E144"/>
    <mergeCell ref="B145:E145"/>
    <mergeCell ref="B146:E146"/>
    <mergeCell ref="B147:E147"/>
    <mergeCell ref="B138:E138"/>
    <mergeCell ref="B139:E139"/>
    <mergeCell ref="B140:E140"/>
    <mergeCell ref="B141:E141"/>
    <mergeCell ref="B142:E142"/>
    <mergeCell ref="B178:E178"/>
    <mergeCell ref="B179:E179"/>
    <mergeCell ref="B180:E180"/>
    <mergeCell ref="B181:E181"/>
    <mergeCell ref="A182:E182"/>
    <mergeCell ref="B204:E204"/>
    <mergeCell ref="A195:O195"/>
    <mergeCell ref="A198:A199"/>
    <mergeCell ref="B198:E199"/>
    <mergeCell ref="F198:F199"/>
    <mergeCell ref="G198:G199"/>
    <mergeCell ref="H198:H199"/>
    <mergeCell ref="I198:N198"/>
    <mergeCell ref="O198:O199"/>
    <mergeCell ref="O218:O219"/>
    <mergeCell ref="B210:E210"/>
    <mergeCell ref="B215:E215"/>
    <mergeCell ref="A216:E216"/>
    <mergeCell ref="A218:A219"/>
    <mergeCell ref="B218:E219"/>
    <mergeCell ref="B205:E205"/>
    <mergeCell ref="B206:E206"/>
    <mergeCell ref="B207:E207"/>
    <mergeCell ref="B208:E208"/>
    <mergeCell ref="B209:E209"/>
    <mergeCell ref="B220:E220"/>
    <mergeCell ref="B221:E221"/>
    <mergeCell ref="B222:E222"/>
    <mergeCell ref="B225:E225"/>
    <mergeCell ref="B226:E226"/>
    <mergeCell ref="F218:F219"/>
    <mergeCell ref="G218:G219"/>
    <mergeCell ref="H218:H219"/>
    <mergeCell ref="I218:N218"/>
    <mergeCell ref="G230:G231"/>
    <mergeCell ref="H230:H231"/>
    <mergeCell ref="I230:N230"/>
    <mergeCell ref="O230:O231"/>
    <mergeCell ref="B232:E232"/>
    <mergeCell ref="B227:E227"/>
    <mergeCell ref="A228:E228"/>
    <mergeCell ref="A230:A231"/>
    <mergeCell ref="B230:E231"/>
    <mergeCell ref="F230:F231"/>
    <mergeCell ref="B238:E238"/>
    <mergeCell ref="B239:E239"/>
    <mergeCell ref="B240:E240"/>
    <mergeCell ref="B241:E241"/>
    <mergeCell ref="B242:E242"/>
    <mergeCell ref="B233:E233"/>
    <mergeCell ref="B234:E234"/>
    <mergeCell ref="B235:E235"/>
    <mergeCell ref="B236:E236"/>
    <mergeCell ref="B237:E237"/>
    <mergeCell ref="B249:E249"/>
    <mergeCell ref="A250:E250"/>
    <mergeCell ref="A253:A254"/>
    <mergeCell ref="B253:E254"/>
    <mergeCell ref="F253:F254"/>
    <mergeCell ref="A244:E244"/>
    <mergeCell ref="A246:O246"/>
    <mergeCell ref="A247:A248"/>
    <mergeCell ref="B247:E248"/>
    <mergeCell ref="F247:F248"/>
    <mergeCell ref="G247:G248"/>
    <mergeCell ref="H247:H248"/>
    <mergeCell ref="I247:N247"/>
    <mergeCell ref="O247:O248"/>
    <mergeCell ref="B256:E256"/>
    <mergeCell ref="B257:E257"/>
    <mergeCell ref="B258:E258"/>
    <mergeCell ref="B259:E259"/>
    <mergeCell ref="B260:E260"/>
    <mergeCell ref="G253:G254"/>
    <mergeCell ref="H253:H254"/>
    <mergeCell ref="I253:N253"/>
    <mergeCell ref="O253:O254"/>
    <mergeCell ref="B255:E255"/>
    <mergeCell ref="B268:E268"/>
    <mergeCell ref="A269:E269"/>
    <mergeCell ref="A271:A272"/>
    <mergeCell ref="B271:E272"/>
    <mergeCell ref="F271:F272"/>
    <mergeCell ref="B263:E263"/>
    <mergeCell ref="B264:E264"/>
    <mergeCell ref="B265:E265"/>
    <mergeCell ref="B266:E266"/>
    <mergeCell ref="B267:E267"/>
    <mergeCell ref="B274:E274"/>
    <mergeCell ref="B275:E275"/>
    <mergeCell ref="B276:E276"/>
    <mergeCell ref="A277:E277"/>
    <mergeCell ref="G271:G272"/>
    <mergeCell ref="H271:H272"/>
    <mergeCell ref="I271:N271"/>
    <mergeCell ref="O271:O272"/>
    <mergeCell ref="B273:E27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52" workbookViewId="0">
      <selection activeCell="I53" sqref="I53"/>
    </sheetView>
  </sheetViews>
  <sheetFormatPr defaultRowHeight="14.5" x14ac:dyDescent="0.35"/>
  <cols>
    <col min="1" max="1" width="7" customWidth="1"/>
    <col min="2" max="2" width="25.453125" customWidth="1"/>
    <col min="3" max="3" width="10.453125" customWidth="1"/>
    <col min="4" max="4" width="10.54296875" customWidth="1"/>
    <col min="5" max="5" width="11.81640625" customWidth="1"/>
    <col min="6" max="6" width="10.7265625" customWidth="1"/>
    <col min="7" max="7" width="10.1796875" customWidth="1"/>
  </cols>
  <sheetData>
    <row r="1" spans="1:7" x14ac:dyDescent="0.35">
      <c r="A1" s="615"/>
      <c r="B1" s="616" t="s">
        <v>217</v>
      </c>
      <c r="C1" s="616" t="s">
        <v>1271</v>
      </c>
      <c r="D1" s="615"/>
      <c r="E1" s="615"/>
      <c r="F1" s="1192" t="s">
        <v>184</v>
      </c>
      <c r="G1" s="1192"/>
    </row>
    <row r="2" spans="1:7" x14ac:dyDescent="0.35">
      <c r="A2" s="1203" t="s">
        <v>183</v>
      </c>
      <c r="B2" s="1203"/>
      <c r="C2" s="1203"/>
      <c r="D2" s="1203"/>
      <c r="E2" s="1203"/>
      <c r="F2" s="1203"/>
      <c r="G2" s="1203"/>
    </row>
    <row r="3" spans="1:7" x14ac:dyDescent="0.35">
      <c r="A3" s="1203"/>
      <c r="B3" s="1203"/>
      <c r="C3" s="1203"/>
      <c r="D3" s="1203"/>
      <c r="E3" s="1203"/>
      <c r="F3" s="1203"/>
      <c r="G3" s="1203"/>
    </row>
    <row r="4" spans="1:7" ht="27.75" customHeight="1" thickBot="1" x14ac:dyDescent="0.4">
      <c r="A4" s="1204"/>
      <c r="B4" s="1204"/>
      <c r="C4" s="1204"/>
      <c r="D4" s="1204"/>
      <c r="E4" s="1204"/>
      <c r="F4" s="1204"/>
      <c r="G4" s="1204"/>
    </row>
    <row r="5" spans="1:7" ht="57.5" x14ac:dyDescent="0.35">
      <c r="A5" s="1205" t="s">
        <v>109</v>
      </c>
      <c r="B5" s="1207" t="s">
        <v>110</v>
      </c>
      <c r="C5" s="1207" t="s">
        <v>40</v>
      </c>
      <c r="D5" s="1209" t="s">
        <v>111</v>
      </c>
      <c r="E5" s="61" t="s">
        <v>112</v>
      </c>
      <c r="F5" s="61" t="s">
        <v>113</v>
      </c>
      <c r="G5" s="62" t="s">
        <v>114</v>
      </c>
    </row>
    <row r="6" spans="1:7" x14ac:dyDescent="0.35">
      <c r="A6" s="1206"/>
      <c r="B6" s="1208"/>
      <c r="C6" s="1208"/>
      <c r="D6" s="1210"/>
      <c r="E6" s="63" t="s">
        <v>115</v>
      </c>
      <c r="F6" s="63" t="s">
        <v>116</v>
      </c>
      <c r="G6" s="64" t="s">
        <v>117</v>
      </c>
    </row>
    <row r="7" spans="1:7" x14ac:dyDescent="0.35">
      <c r="A7" s="65"/>
      <c r="B7" s="66"/>
      <c r="C7" s="66"/>
      <c r="D7" s="63"/>
      <c r="E7" s="67" t="s">
        <v>118</v>
      </c>
      <c r="F7" s="67" t="s">
        <v>119</v>
      </c>
      <c r="G7" s="68" t="s">
        <v>120</v>
      </c>
    </row>
    <row r="8" spans="1:7" x14ac:dyDescent="0.35">
      <c r="A8" s="65">
        <v>1</v>
      </c>
      <c r="B8" s="66">
        <f>+A8+1</f>
        <v>2</v>
      </c>
      <c r="C8" s="66">
        <f>+B8+1</f>
        <v>3</v>
      </c>
      <c r="D8" s="63">
        <f>+C8+1</f>
        <v>4</v>
      </c>
      <c r="E8" s="63">
        <f>+D8+1</f>
        <v>5</v>
      </c>
      <c r="F8" s="63">
        <f>+E8+1</f>
        <v>6</v>
      </c>
      <c r="G8" s="64" t="s">
        <v>121</v>
      </c>
    </row>
    <row r="9" spans="1:7" x14ac:dyDescent="0.35">
      <c r="A9" s="1196">
        <v>1</v>
      </c>
      <c r="B9" s="1202" t="s">
        <v>122</v>
      </c>
      <c r="C9" s="1202" t="s">
        <v>123</v>
      </c>
      <c r="D9" s="69">
        <v>1150</v>
      </c>
      <c r="E9" s="70"/>
      <c r="F9" s="70"/>
      <c r="G9" s="71">
        <f>E9*F9</f>
        <v>0</v>
      </c>
    </row>
    <row r="10" spans="1:7" x14ac:dyDescent="0.35">
      <c r="A10" s="1196"/>
      <c r="B10" s="1202"/>
      <c r="C10" s="1202"/>
      <c r="D10" s="69">
        <v>750</v>
      </c>
      <c r="E10" s="70"/>
      <c r="F10" s="70"/>
      <c r="G10" s="71">
        <f>E10*F10</f>
        <v>0</v>
      </c>
    </row>
    <row r="11" spans="1:7" x14ac:dyDescent="0.35">
      <c r="A11" s="1196"/>
      <c r="B11" s="1202"/>
      <c r="C11" s="1202"/>
      <c r="D11" s="69" t="s">
        <v>124</v>
      </c>
      <c r="E11" s="70"/>
      <c r="F11" s="70"/>
      <c r="G11" s="71">
        <f>E11*F11</f>
        <v>0</v>
      </c>
    </row>
    <row r="12" spans="1:7" x14ac:dyDescent="0.35">
      <c r="A12" s="1196"/>
      <c r="B12" s="1202"/>
      <c r="C12" s="1202"/>
      <c r="D12" s="69">
        <v>330</v>
      </c>
      <c r="E12" s="70"/>
      <c r="F12" s="70"/>
      <c r="G12" s="71">
        <f>E12*F12</f>
        <v>0</v>
      </c>
    </row>
    <row r="13" spans="1:7" x14ac:dyDescent="0.35">
      <c r="A13" s="1196"/>
      <c r="B13" s="1202"/>
      <c r="C13" s="1202"/>
      <c r="D13" s="69">
        <v>220</v>
      </c>
      <c r="E13" s="70"/>
      <c r="F13" s="70"/>
      <c r="G13" s="71">
        <f t="shared" ref="G13:G50" si="0">E13*F13</f>
        <v>0</v>
      </c>
    </row>
    <row r="14" spans="1:7" x14ac:dyDescent="0.35">
      <c r="A14" s="1196"/>
      <c r="B14" s="1202"/>
      <c r="C14" s="1202"/>
      <c r="D14" s="69" t="s">
        <v>125</v>
      </c>
      <c r="E14" s="70"/>
      <c r="F14" s="70"/>
      <c r="G14" s="71">
        <f t="shared" si="0"/>
        <v>0</v>
      </c>
    </row>
    <row r="15" spans="1:7" x14ac:dyDescent="0.35">
      <c r="A15" s="1196"/>
      <c r="B15" s="1202"/>
      <c r="C15" s="1202"/>
      <c r="D15" s="69">
        <v>35</v>
      </c>
      <c r="E15" s="70">
        <v>75</v>
      </c>
      <c r="F15" s="70">
        <v>1</v>
      </c>
      <c r="G15" s="71">
        <f t="shared" si="0"/>
        <v>75</v>
      </c>
    </row>
    <row r="16" spans="1:7" x14ac:dyDescent="0.35">
      <c r="A16" s="1196">
        <v>2</v>
      </c>
      <c r="B16" s="1202" t="s">
        <v>126</v>
      </c>
      <c r="C16" s="1202" t="s">
        <v>127</v>
      </c>
      <c r="D16" s="69">
        <v>1150</v>
      </c>
      <c r="E16" s="70"/>
      <c r="F16" s="70"/>
      <c r="G16" s="71">
        <f t="shared" si="0"/>
        <v>0</v>
      </c>
    </row>
    <row r="17" spans="1:7" x14ac:dyDescent="0.35">
      <c r="A17" s="1196"/>
      <c r="B17" s="1202"/>
      <c r="C17" s="1202"/>
      <c r="D17" s="69">
        <v>750</v>
      </c>
      <c r="E17" s="70"/>
      <c r="F17" s="70"/>
      <c r="G17" s="71">
        <f t="shared" si="0"/>
        <v>0</v>
      </c>
    </row>
    <row r="18" spans="1:7" x14ac:dyDescent="0.35">
      <c r="A18" s="1196"/>
      <c r="B18" s="1202"/>
      <c r="C18" s="1202"/>
      <c r="D18" s="69" t="s">
        <v>124</v>
      </c>
      <c r="E18" s="70"/>
      <c r="F18" s="70"/>
      <c r="G18" s="71">
        <f t="shared" si="0"/>
        <v>0</v>
      </c>
    </row>
    <row r="19" spans="1:7" x14ac:dyDescent="0.35">
      <c r="A19" s="1196"/>
      <c r="B19" s="1202"/>
      <c r="C19" s="1202"/>
      <c r="D19" s="69">
        <v>330</v>
      </c>
      <c r="E19" s="70"/>
      <c r="F19" s="70"/>
      <c r="G19" s="71">
        <f t="shared" si="0"/>
        <v>0</v>
      </c>
    </row>
    <row r="20" spans="1:7" x14ac:dyDescent="0.35">
      <c r="A20" s="1196"/>
      <c r="B20" s="1202"/>
      <c r="C20" s="1202"/>
      <c r="D20" s="69">
        <v>220</v>
      </c>
      <c r="E20" s="70"/>
      <c r="F20" s="70"/>
      <c r="G20" s="71">
        <f t="shared" si="0"/>
        <v>0</v>
      </c>
    </row>
    <row r="21" spans="1:7" x14ac:dyDescent="0.35">
      <c r="A21" s="1196"/>
      <c r="B21" s="1202"/>
      <c r="C21" s="1202"/>
      <c r="D21" s="69" t="s">
        <v>125</v>
      </c>
      <c r="E21" s="70"/>
      <c r="F21" s="70"/>
      <c r="G21" s="71">
        <f t="shared" si="0"/>
        <v>0</v>
      </c>
    </row>
    <row r="22" spans="1:7" x14ac:dyDescent="0.35">
      <c r="A22" s="1196"/>
      <c r="B22" s="1202"/>
      <c r="C22" s="1202"/>
      <c r="D22" s="69">
        <v>35</v>
      </c>
      <c r="E22" s="70"/>
      <c r="F22" s="70"/>
      <c r="G22" s="71">
        <f t="shared" si="0"/>
        <v>0</v>
      </c>
    </row>
    <row r="23" spans="1:7" x14ac:dyDescent="0.35">
      <c r="A23" s="1196"/>
      <c r="B23" s="1202"/>
      <c r="C23" s="1202"/>
      <c r="D23" s="72" t="s">
        <v>128</v>
      </c>
      <c r="E23" s="70">
        <v>1</v>
      </c>
      <c r="F23" s="70">
        <v>2</v>
      </c>
      <c r="G23" s="71">
        <f t="shared" si="0"/>
        <v>2</v>
      </c>
    </row>
    <row r="24" spans="1:7" x14ac:dyDescent="0.35">
      <c r="A24" s="1196">
        <v>3</v>
      </c>
      <c r="B24" s="1202" t="s">
        <v>129</v>
      </c>
      <c r="C24" s="1202" t="s">
        <v>130</v>
      </c>
      <c r="D24" s="69">
        <v>1150</v>
      </c>
      <c r="E24" s="70"/>
      <c r="F24" s="70"/>
      <c r="G24" s="71">
        <f t="shared" si="0"/>
        <v>0</v>
      </c>
    </row>
    <row r="25" spans="1:7" x14ac:dyDescent="0.35">
      <c r="A25" s="1196"/>
      <c r="B25" s="1202"/>
      <c r="C25" s="1202"/>
      <c r="D25" s="69">
        <v>750</v>
      </c>
      <c r="E25" s="70"/>
      <c r="F25" s="70"/>
      <c r="G25" s="71">
        <f t="shared" si="0"/>
        <v>0</v>
      </c>
    </row>
    <row r="26" spans="1:7" x14ac:dyDescent="0.35">
      <c r="A26" s="1196"/>
      <c r="B26" s="1202"/>
      <c r="C26" s="1202"/>
      <c r="D26" s="69" t="s">
        <v>124</v>
      </c>
      <c r="E26" s="70"/>
      <c r="F26" s="70"/>
      <c r="G26" s="71">
        <f t="shared" si="0"/>
        <v>0</v>
      </c>
    </row>
    <row r="27" spans="1:7" x14ac:dyDescent="0.35">
      <c r="A27" s="1196"/>
      <c r="B27" s="1202"/>
      <c r="C27" s="1202"/>
      <c r="D27" s="69">
        <v>330</v>
      </c>
      <c r="E27" s="70"/>
      <c r="F27" s="70"/>
      <c r="G27" s="71">
        <f t="shared" si="0"/>
        <v>0</v>
      </c>
    </row>
    <row r="28" spans="1:7" x14ac:dyDescent="0.35">
      <c r="A28" s="1196"/>
      <c r="B28" s="1202"/>
      <c r="C28" s="1202"/>
      <c r="D28" s="69">
        <v>220</v>
      </c>
      <c r="E28" s="70"/>
      <c r="F28" s="70"/>
      <c r="G28" s="71">
        <f t="shared" si="0"/>
        <v>0</v>
      </c>
    </row>
    <row r="29" spans="1:7" x14ac:dyDescent="0.35">
      <c r="A29" s="1196"/>
      <c r="B29" s="1202"/>
      <c r="C29" s="1202"/>
      <c r="D29" s="69" t="s">
        <v>125</v>
      </c>
      <c r="E29" s="70"/>
      <c r="F29" s="70"/>
      <c r="G29" s="71">
        <f t="shared" si="0"/>
        <v>0</v>
      </c>
    </row>
    <row r="30" spans="1:7" x14ac:dyDescent="0.35">
      <c r="A30" s="1196"/>
      <c r="B30" s="1202"/>
      <c r="C30" s="1202"/>
      <c r="D30" s="69">
        <v>35</v>
      </c>
      <c r="E30" s="70"/>
      <c r="F30" s="70"/>
      <c r="G30" s="71">
        <f t="shared" si="0"/>
        <v>0</v>
      </c>
    </row>
    <row r="31" spans="1:7" x14ac:dyDescent="0.35">
      <c r="A31" s="1196"/>
      <c r="B31" s="1202"/>
      <c r="C31" s="1202"/>
      <c r="D31" s="72" t="s">
        <v>128</v>
      </c>
      <c r="E31" s="70"/>
      <c r="F31" s="70"/>
      <c r="G31" s="71">
        <f t="shared" si="0"/>
        <v>0</v>
      </c>
    </row>
    <row r="32" spans="1:7" x14ac:dyDescent="0.35">
      <c r="A32" s="1196">
        <v>4</v>
      </c>
      <c r="B32" s="1202" t="s">
        <v>131</v>
      </c>
      <c r="C32" s="1202" t="s">
        <v>132</v>
      </c>
      <c r="D32" s="69">
        <v>220</v>
      </c>
      <c r="E32" s="70"/>
      <c r="F32" s="70"/>
      <c r="G32" s="71">
        <f t="shared" si="0"/>
        <v>0</v>
      </c>
    </row>
    <row r="33" spans="1:7" x14ac:dyDescent="0.35">
      <c r="A33" s="1196"/>
      <c r="B33" s="1202"/>
      <c r="C33" s="1202"/>
      <c r="D33" s="69" t="s">
        <v>125</v>
      </c>
      <c r="E33" s="70"/>
      <c r="F33" s="70"/>
      <c r="G33" s="71">
        <f t="shared" si="0"/>
        <v>0</v>
      </c>
    </row>
    <row r="34" spans="1:7" x14ac:dyDescent="0.35">
      <c r="A34" s="1196"/>
      <c r="B34" s="1202"/>
      <c r="C34" s="1202"/>
      <c r="D34" s="69">
        <v>35</v>
      </c>
      <c r="E34" s="70">
        <v>6.4</v>
      </c>
      <c r="F34" s="70">
        <v>3</v>
      </c>
      <c r="G34" s="71">
        <f t="shared" si="0"/>
        <v>19.200000000000003</v>
      </c>
    </row>
    <row r="35" spans="1:7" x14ac:dyDescent="0.35">
      <c r="A35" s="1196"/>
      <c r="B35" s="1202"/>
      <c r="C35" s="1202"/>
      <c r="D35" s="72" t="s">
        <v>128</v>
      </c>
      <c r="E35" s="70">
        <v>3.1</v>
      </c>
      <c r="F35" s="70">
        <v>30</v>
      </c>
      <c r="G35" s="71">
        <f t="shared" si="0"/>
        <v>93</v>
      </c>
    </row>
    <row r="36" spans="1:7" x14ac:dyDescent="0.35">
      <c r="A36" s="1196">
        <v>5</v>
      </c>
      <c r="B36" s="1202" t="s">
        <v>133</v>
      </c>
      <c r="C36" s="1202" t="s">
        <v>127</v>
      </c>
      <c r="D36" s="69" t="s">
        <v>124</v>
      </c>
      <c r="E36" s="70"/>
      <c r="F36" s="70"/>
      <c r="G36" s="71">
        <f t="shared" si="0"/>
        <v>0</v>
      </c>
    </row>
    <row r="37" spans="1:7" x14ac:dyDescent="0.35">
      <c r="A37" s="1196"/>
      <c r="B37" s="1202"/>
      <c r="C37" s="1202"/>
      <c r="D37" s="69">
        <v>330</v>
      </c>
      <c r="E37" s="70"/>
      <c r="F37" s="70"/>
      <c r="G37" s="71">
        <f t="shared" si="0"/>
        <v>0</v>
      </c>
    </row>
    <row r="38" spans="1:7" x14ac:dyDescent="0.35">
      <c r="A38" s="1196"/>
      <c r="B38" s="1202"/>
      <c r="C38" s="1202"/>
      <c r="D38" s="69">
        <v>220</v>
      </c>
      <c r="E38" s="70"/>
      <c r="F38" s="70"/>
      <c r="G38" s="71">
        <f t="shared" si="0"/>
        <v>0</v>
      </c>
    </row>
    <row r="39" spans="1:7" x14ac:dyDescent="0.35">
      <c r="A39" s="1196"/>
      <c r="B39" s="1202"/>
      <c r="C39" s="1202"/>
      <c r="D39" s="69" t="s">
        <v>125</v>
      </c>
      <c r="E39" s="70"/>
      <c r="F39" s="70"/>
      <c r="G39" s="71">
        <f t="shared" si="0"/>
        <v>0</v>
      </c>
    </row>
    <row r="40" spans="1:7" x14ac:dyDescent="0.35">
      <c r="A40" s="1196"/>
      <c r="B40" s="1202"/>
      <c r="C40" s="1202"/>
      <c r="D40" s="69">
        <v>35</v>
      </c>
      <c r="E40" s="70">
        <v>4.7</v>
      </c>
      <c r="F40" s="70">
        <v>6</v>
      </c>
      <c r="G40" s="71">
        <f t="shared" si="0"/>
        <v>28.200000000000003</v>
      </c>
    </row>
    <row r="41" spans="1:7" ht="22.5" customHeight="1" x14ac:dyDescent="0.35">
      <c r="A41" s="73">
        <v>6</v>
      </c>
      <c r="B41" s="74" t="s">
        <v>134</v>
      </c>
      <c r="C41" s="74" t="s">
        <v>132</v>
      </c>
      <c r="D41" s="72" t="s">
        <v>128</v>
      </c>
      <c r="E41" s="70">
        <v>2.2999999999999998</v>
      </c>
      <c r="F41" s="70">
        <v>345</v>
      </c>
      <c r="G41" s="71">
        <f t="shared" si="0"/>
        <v>793.49999999999989</v>
      </c>
    </row>
    <row r="42" spans="1:7" ht="31.5" customHeight="1" x14ac:dyDescent="0.35">
      <c r="A42" s="73">
        <v>7</v>
      </c>
      <c r="B42" s="74" t="s">
        <v>135</v>
      </c>
      <c r="C42" s="74" t="s">
        <v>132</v>
      </c>
      <c r="D42" s="72" t="s">
        <v>128</v>
      </c>
      <c r="E42" s="70"/>
      <c r="F42" s="70"/>
      <c r="G42" s="71">
        <f t="shared" si="0"/>
        <v>0</v>
      </c>
    </row>
    <row r="43" spans="1:7" ht="18" customHeight="1" x14ac:dyDescent="0.35">
      <c r="A43" s="73">
        <v>8</v>
      </c>
      <c r="B43" s="74" t="s">
        <v>136</v>
      </c>
      <c r="C43" s="74" t="s">
        <v>132</v>
      </c>
      <c r="D43" s="72" t="s">
        <v>128</v>
      </c>
      <c r="E43" s="70"/>
      <c r="F43" s="70"/>
      <c r="G43" s="71">
        <f t="shared" si="0"/>
        <v>0</v>
      </c>
    </row>
    <row r="44" spans="1:7" x14ac:dyDescent="0.35">
      <c r="A44" s="1193">
        <v>9</v>
      </c>
      <c r="B44" s="1194" t="s">
        <v>137</v>
      </c>
      <c r="C44" s="1195" t="s">
        <v>138</v>
      </c>
      <c r="D44" s="69" t="s">
        <v>125</v>
      </c>
      <c r="E44" s="70"/>
      <c r="F44" s="70"/>
      <c r="G44" s="71">
        <f t="shared" si="0"/>
        <v>0</v>
      </c>
    </row>
    <row r="45" spans="1:7" x14ac:dyDescent="0.35">
      <c r="A45" s="1193"/>
      <c r="B45" s="1194"/>
      <c r="C45" s="1195"/>
      <c r="D45" s="69">
        <v>35</v>
      </c>
      <c r="E45" s="70"/>
      <c r="F45" s="70"/>
      <c r="G45" s="71">
        <f t="shared" si="0"/>
        <v>0</v>
      </c>
    </row>
    <row r="46" spans="1:7" x14ac:dyDescent="0.35">
      <c r="A46" s="1193"/>
      <c r="B46" s="1194"/>
      <c r="C46" s="1195"/>
      <c r="D46" s="72" t="s">
        <v>128</v>
      </c>
      <c r="E46" s="70"/>
      <c r="F46" s="70"/>
      <c r="G46" s="71">
        <f t="shared" si="0"/>
        <v>0</v>
      </c>
    </row>
    <row r="47" spans="1:7" ht="28.5" customHeight="1" x14ac:dyDescent="0.35">
      <c r="A47" s="73">
        <v>10</v>
      </c>
      <c r="B47" s="74" t="s">
        <v>139</v>
      </c>
      <c r="C47" s="74" t="s">
        <v>140</v>
      </c>
      <c r="D47" s="72" t="s">
        <v>128</v>
      </c>
      <c r="E47" s="70">
        <v>2.5</v>
      </c>
      <c r="F47" s="70">
        <v>8</v>
      </c>
      <c r="G47" s="71">
        <f t="shared" si="0"/>
        <v>20</v>
      </c>
    </row>
    <row r="48" spans="1:7" ht="38.25" customHeight="1" x14ac:dyDescent="0.35">
      <c r="A48" s="73">
        <v>11</v>
      </c>
      <c r="B48" s="74" t="s">
        <v>141</v>
      </c>
      <c r="C48" s="74" t="s">
        <v>142</v>
      </c>
      <c r="D48" s="72" t="s">
        <v>128</v>
      </c>
      <c r="E48" s="70">
        <v>2.2999999999999998</v>
      </c>
      <c r="F48" s="70">
        <v>49</v>
      </c>
      <c r="G48" s="71">
        <f t="shared" si="0"/>
        <v>112.69999999999999</v>
      </c>
    </row>
    <row r="49" spans="1:9" ht="29.25" customHeight="1" x14ac:dyDescent="0.35">
      <c r="A49" s="73">
        <v>12</v>
      </c>
      <c r="B49" s="74" t="s">
        <v>143</v>
      </c>
      <c r="C49" s="74" t="s">
        <v>142</v>
      </c>
      <c r="D49" s="72" t="s">
        <v>128</v>
      </c>
      <c r="E49" s="70">
        <v>3</v>
      </c>
      <c r="F49" s="70">
        <v>29</v>
      </c>
      <c r="G49" s="71">
        <f t="shared" si="0"/>
        <v>87</v>
      </c>
    </row>
    <row r="50" spans="1:9" ht="30" customHeight="1" x14ac:dyDescent="0.35">
      <c r="A50" s="73">
        <v>13</v>
      </c>
      <c r="B50" s="74" t="s">
        <v>144</v>
      </c>
      <c r="C50" s="74" t="s">
        <v>145</v>
      </c>
      <c r="D50" s="69">
        <v>35</v>
      </c>
      <c r="E50" s="70"/>
      <c r="F50" s="70"/>
      <c r="G50" s="71">
        <f t="shared" si="0"/>
        <v>0</v>
      </c>
    </row>
    <row r="51" spans="1:9" x14ac:dyDescent="0.35">
      <c r="A51" s="1196" t="s">
        <v>146</v>
      </c>
      <c r="B51" s="1198" t="s">
        <v>84</v>
      </c>
      <c r="C51" s="1200"/>
      <c r="D51" s="69" t="s">
        <v>147</v>
      </c>
      <c r="E51" s="75"/>
      <c r="F51" s="75"/>
      <c r="G51" s="76">
        <f>G39+G38+G33+G32+G29+G28+G21+G20+G14+G13+G44</f>
        <v>0</v>
      </c>
    </row>
    <row r="52" spans="1:9" x14ac:dyDescent="0.35">
      <c r="A52" s="1196"/>
      <c r="B52" s="1198"/>
      <c r="C52" s="1200"/>
      <c r="D52" s="69" t="s">
        <v>148</v>
      </c>
      <c r="E52" s="75"/>
      <c r="F52" s="75"/>
      <c r="G52" s="76">
        <f>G34+G40+G15</f>
        <v>122.4</v>
      </c>
    </row>
    <row r="53" spans="1:9" x14ac:dyDescent="0.35">
      <c r="A53" s="1196"/>
      <c r="B53" s="1198"/>
      <c r="C53" s="1200"/>
      <c r="D53" s="69" t="s">
        <v>149</v>
      </c>
      <c r="E53" s="75"/>
      <c r="F53" s="75"/>
      <c r="G53" s="76">
        <f>G23+G35+G41+G47+G48+G49</f>
        <v>1108.1999999999998</v>
      </c>
      <c r="I53" s="617"/>
    </row>
    <row r="54" spans="1:9" ht="15" thickBot="1" x14ac:dyDescent="0.4">
      <c r="A54" s="1197"/>
      <c r="B54" s="1199"/>
      <c r="C54" s="1201"/>
      <c r="D54" s="77" t="s">
        <v>150</v>
      </c>
      <c r="E54" s="78"/>
      <c r="F54" s="78"/>
      <c r="G54" s="79">
        <f>SUM(G9:G50) - G51-G52-G53</f>
        <v>0</v>
      </c>
    </row>
    <row r="56" spans="1:9" x14ac:dyDescent="0.35">
      <c r="B56" s="80" t="s">
        <v>828</v>
      </c>
    </row>
  </sheetData>
  <protectedRanges>
    <protectedRange sqref="E9:F54" name="Диапазон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3" workbookViewId="0">
      <selection activeCell="H47" sqref="H47"/>
    </sheetView>
  </sheetViews>
  <sheetFormatPr defaultRowHeight="13" x14ac:dyDescent="0.3"/>
  <cols>
    <col min="1" max="1" width="7" style="45" customWidth="1"/>
    <col min="2" max="2" width="9.54296875" style="45" customWidth="1"/>
    <col min="3" max="3" width="8" style="45" customWidth="1"/>
    <col min="4" max="4" width="8.81640625" style="45" customWidth="1"/>
    <col min="5" max="5" width="20.7265625" style="45" customWidth="1"/>
    <col min="6" max="6" width="10.1796875" style="45" customWidth="1"/>
    <col min="7" max="7" width="11.54296875" style="45" customWidth="1"/>
    <col min="8" max="16384" width="8.7265625" style="45"/>
  </cols>
  <sheetData>
    <row r="1" spans="1:8" x14ac:dyDescent="0.3">
      <c r="A1" s="618"/>
      <c r="B1" s="619" t="s">
        <v>217</v>
      </c>
      <c r="C1" s="618"/>
      <c r="D1" s="618"/>
      <c r="E1" s="619" t="s">
        <v>1272</v>
      </c>
      <c r="F1" s="618"/>
      <c r="G1" s="618" t="s">
        <v>185</v>
      </c>
      <c r="H1" s="618"/>
    </row>
    <row r="2" spans="1:8" x14ac:dyDescent="0.3">
      <c r="A2" s="1203" t="s">
        <v>182</v>
      </c>
      <c r="B2" s="1203"/>
      <c r="C2" s="1203"/>
      <c r="D2" s="1203"/>
      <c r="E2" s="1203"/>
      <c r="F2" s="1203"/>
      <c r="G2" s="1203"/>
      <c r="H2" s="1203"/>
    </row>
    <row r="3" spans="1:8" x14ac:dyDescent="0.3">
      <c r="A3" s="1203"/>
      <c r="B3" s="1203"/>
      <c r="C3" s="1203"/>
      <c r="D3" s="1203"/>
      <c r="E3" s="1203"/>
      <c r="F3" s="1203"/>
      <c r="G3" s="1203"/>
      <c r="H3" s="1203"/>
    </row>
    <row r="4" spans="1:8" x14ac:dyDescent="0.3">
      <c r="A4" s="1203"/>
      <c r="B4" s="1203"/>
      <c r="C4" s="1203"/>
      <c r="D4" s="1203"/>
      <c r="E4" s="1203"/>
      <c r="F4" s="1203"/>
      <c r="G4" s="1203"/>
      <c r="H4" s="1203"/>
    </row>
    <row r="5" spans="1:8" ht="17.5" customHeight="1" thickBot="1" x14ac:dyDescent="0.35">
      <c r="A5" s="1204"/>
      <c r="B5" s="1204"/>
      <c r="C5" s="1204"/>
      <c r="D5" s="1204"/>
      <c r="E5" s="1204"/>
      <c r="F5" s="1204"/>
      <c r="G5" s="1204"/>
      <c r="H5" s="1204"/>
    </row>
    <row r="6" spans="1:8" ht="83" customHeight="1" x14ac:dyDescent="0.3">
      <c r="A6" s="1213" t="s">
        <v>151</v>
      </c>
      <c r="B6" s="1215" t="s">
        <v>111</v>
      </c>
      <c r="C6" s="412"/>
      <c r="D6" s="1215" t="s">
        <v>152</v>
      </c>
      <c r="E6" s="1215" t="s">
        <v>153</v>
      </c>
      <c r="F6" s="413" t="s">
        <v>154</v>
      </c>
      <c r="G6" s="413" t="s">
        <v>155</v>
      </c>
      <c r="H6" s="414" t="s">
        <v>114</v>
      </c>
    </row>
    <row r="7" spans="1:8" ht="11.5" customHeight="1" x14ac:dyDescent="0.3">
      <c r="A7" s="1214"/>
      <c r="B7" s="1216"/>
      <c r="C7" s="415"/>
      <c r="D7" s="1216"/>
      <c r="E7" s="1216"/>
      <c r="F7" s="416" t="s">
        <v>156</v>
      </c>
      <c r="G7" s="416" t="s">
        <v>41</v>
      </c>
      <c r="H7" s="417" t="s">
        <v>117</v>
      </c>
    </row>
    <row r="8" spans="1:8" x14ac:dyDescent="0.3">
      <c r="A8" s="418"/>
      <c r="B8" s="416"/>
      <c r="C8" s="415"/>
      <c r="D8" s="416"/>
      <c r="E8" s="416"/>
      <c r="F8" s="416" t="s">
        <v>118</v>
      </c>
      <c r="G8" s="416" t="s">
        <v>119</v>
      </c>
      <c r="H8" s="417" t="s">
        <v>120</v>
      </c>
    </row>
    <row r="9" spans="1:8" ht="25" x14ac:dyDescent="0.3">
      <c r="A9" s="419">
        <v>1</v>
      </c>
      <c r="B9" s="416">
        <f>+A9+1</f>
        <v>2</v>
      </c>
      <c r="C9" s="415"/>
      <c r="D9" s="416">
        <f>+B9+1</f>
        <v>3</v>
      </c>
      <c r="E9" s="416">
        <f>+D9+1</f>
        <v>4</v>
      </c>
      <c r="F9" s="416">
        <f>+E9+1</f>
        <v>5</v>
      </c>
      <c r="G9" s="416">
        <f>+F9+1</f>
        <v>6</v>
      </c>
      <c r="H9" s="417" t="s">
        <v>157</v>
      </c>
    </row>
    <row r="10" spans="1:8" x14ac:dyDescent="0.3">
      <c r="A10" s="1211" t="s">
        <v>158</v>
      </c>
      <c r="B10" s="420">
        <v>1150</v>
      </c>
      <c r="C10" s="420">
        <v>1150</v>
      </c>
      <c r="D10" s="420" t="s">
        <v>159</v>
      </c>
      <c r="E10" s="420" t="s">
        <v>160</v>
      </c>
      <c r="F10" s="421"/>
      <c r="G10" s="421"/>
      <c r="H10" s="422">
        <f t="shared" ref="H10:H29" si="0">F10*G10/100</f>
        <v>0</v>
      </c>
    </row>
    <row r="11" spans="1:8" x14ac:dyDescent="0.3">
      <c r="A11" s="1211"/>
      <c r="B11" s="420">
        <v>750</v>
      </c>
      <c r="C11" s="420">
        <v>750</v>
      </c>
      <c r="D11" s="420">
        <v>1</v>
      </c>
      <c r="E11" s="420" t="s">
        <v>160</v>
      </c>
      <c r="F11" s="421"/>
      <c r="G11" s="421"/>
      <c r="H11" s="422">
        <f t="shared" si="0"/>
        <v>0</v>
      </c>
    </row>
    <row r="12" spans="1:8" x14ac:dyDescent="0.3">
      <c r="A12" s="1211"/>
      <c r="B12" s="1212" t="s">
        <v>124</v>
      </c>
      <c r="C12" s="420" t="s">
        <v>161</v>
      </c>
      <c r="D12" s="1212">
        <v>1</v>
      </c>
      <c r="E12" s="420" t="s">
        <v>160</v>
      </c>
      <c r="F12" s="421"/>
      <c r="G12" s="421"/>
      <c r="H12" s="422">
        <f t="shared" si="0"/>
        <v>0</v>
      </c>
    </row>
    <row r="13" spans="1:8" x14ac:dyDescent="0.3">
      <c r="A13" s="1211"/>
      <c r="B13" s="1212"/>
      <c r="C13" s="420" t="s">
        <v>161</v>
      </c>
      <c r="D13" s="1212"/>
      <c r="E13" s="420" t="s">
        <v>162</v>
      </c>
      <c r="F13" s="421"/>
      <c r="G13" s="421"/>
      <c r="H13" s="422">
        <f t="shared" si="0"/>
        <v>0</v>
      </c>
    </row>
    <row r="14" spans="1:8" x14ac:dyDescent="0.3">
      <c r="A14" s="1211"/>
      <c r="B14" s="1212">
        <v>330</v>
      </c>
      <c r="C14" s="420">
        <v>330</v>
      </c>
      <c r="D14" s="1212">
        <v>1</v>
      </c>
      <c r="E14" s="420" t="s">
        <v>160</v>
      </c>
      <c r="F14" s="421"/>
      <c r="G14" s="421"/>
      <c r="H14" s="422">
        <f t="shared" si="0"/>
        <v>0</v>
      </c>
    </row>
    <row r="15" spans="1:8" x14ac:dyDescent="0.3">
      <c r="A15" s="1211"/>
      <c r="B15" s="1212"/>
      <c r="C15" s="420">
        <v>330</v>
      </c>
      <c r="D15" s="1212"/>
      <c r="E15" s="420" t="s">
        <v>162</v>
      </c>
      <c r="F15" s="421"/>
      <c r="G15" s="421"/>
      <c r="H15" s="422">
        <f t="shared" si="0"/>
        <v>0</v>
      </c>
    </row>
    <row r="16" spans="1:8" x14ac:dyDescent="0.3">
      <c r="A16" s="1211"/>
      <c r="B16" s="1212"/>
      <c r="C16" s="420">
        <v>330</v>
      </c>
      <c r="D16" s="1212">
        <v>2</v>
      </c>
      <c r="E16" s="420" t="s">
        <v>160</v>
      </c>
      <c r="F16" s="421"/>
      <c r="G16" s="421"/>
      <c r="H16" s="422">
        <f t="shared" si="0"/>
        <v>0</v>
      </c>
    </row>
    <row r="17" spans="1:8" x14ac:dyDescent="0.3">
      <c r="A17" s="1211"/>
      <c r="B17" s="1212"/>
      <c r="C17" s="420">
        <v>330</v>
      </c>
      <c r="D17" s="1212"/>
      <c r="E17" s="420" t="s">
        <v>162</v>
      </c>
      <c r="F17" s="421"/>
      <c r="G17" s="421"/>
      <c r="H17" s="422">
        <f t="shared" si="0"/>
        <v>0</v>
      </c>
    </row>
    <row r="18" spans="1:8" x14ac:dyDescent="0.3">
      <c r="A18" s="1211"/>
      <c r="B18" s="1212">
        <v>220</v>
      </c>
      <c r="C18" s="420">
        <v>220</v>
      </c>
      <c r="D18" s="1212">
        <v>1</v>
      </c>
      <c r="E18" s="420" t="s">
        <v>163</v>
      </c>
      <c r="F18" s="421"/>
      <c r="G18" s="421"/>
      <c r="H18" s="422">
        <f t="shared" si="0"/>
        <v>0</v>
      </c>
    </row>
    <row r="19" spans="1:8" x14ac:dyDescent="0.3">
      <c r="A19" s="1211"/>
      <c r="B19" s="1212"/>
      <c r="C19" s="420">
        <v>220</v>
      </c>
      <c r="D19" s="1212"/>
      <c r="E19" s="420" t="s">
        <v>160</v>
      </c>
      <c r="F19" s="421"/>
      <c r="G19" s="421"/>
      <c r="H19" s="422">
        <f t="shared" si="0"/>
        <v>0</v>
      </c>
    </row>
    <row r="20" spans="1:8" x14ac:dyDescent="0.3">
      <c r="A20" s="1211"/>
      <c r="B20" s="1212"/>
      <c r="C20" s="420">
        <v>220</v>
      </c>
      <c r="D20" s="1212"/>
      <c r="E20" s="420" t="s">
        <v>162</v>
      </c>
      <c r="F20" s="421"/>
      <c r="G20" s="421"/>
      <c r="H20" s="422">
        <f t="shared" si="0"/>
        <v>0</v>
      </c>
    </row>
    <row r="21" spans="1:8" x14ac:dyDescent="0.3">
      <c r="A21" s="1211"/>
      <c r="B21" s="1212"/>
      <c r="C21" s="420">
        <v>220</v>
      </c>
      <c r="D21" s="1212">
        <v>2</v>
      </c>
      <c r="E21" s="420" t="s">
        <v>160</v>
      </c>
      <c r="F21" s="421"/>
      <c r="G21" s="421"/>
      <c r="H21" s="422">
        <f t="shared" si="0"/>
        <v>0</v>
      </c>
    </row>
    <row r="22" spans="1:8" x14ac:dyDescent="0.3">
      <c r="A22" s="1211"/>
      <c r="B22" s="1212"/>
      <c r="C22" s="420">
        <v>220</v>
      </c>
      <c r="D22" s="1212"/>
      <c r="E22" s="420" t="s">
        <v>162</v>
      </c>
      <c r="F22" s="421"/>
      <c r="G22" s="421"/>
      <c r="H22" s="422">
        <f t="shared" si="0"/>
        <v>0</v>
      </c>
    </row>
    <row r="23" spans="1:8" x14ac:dyDescent="0.3">
      <c r="A23" s="1211"/>
      <c r="B23" s="1212" t="s">
        <v>125</v>
      </c>
      <c r="C23" s="420" t="s">
        <v>164</v>
      </c>
      <c r="D23" s="1212">
        <v>1</v>
      </c>
      <c r="E23" s="420" t="s">
        <v>163</v>
      </c>
      <c r="F23" s="421"/>
      <c r="G23" s="421"/>
      <c r="H23" s="422">
        <f t="shared" si="0"/>
        <v>0</v>
      </c>
    </row>
    <row r="24" spans="1:8" x14ac:dyDescent="0.3">
      <c r="A24" s="1211"/>
      <c r="B24" s="1212"/>
      <c r="C24" s="420" t="s">
        <v>164</v>
      </c>
      <c r="D24" s="1212"/>
      <c r="E24" s="420" t="s">
        <v>160</v>
      </c>
      <c r="F24" s="421"/>
      <c r="G24" s="421"/>
      <c r="H24" s="422">
        <f t="shared" si="0"/>
        <v>0</v>
      </c>
    </row>
    <row r="25" spans="1:8" x14ac:dyDescent="0.3">
      <c r="A25" s="1211"/>
      <c r="B25" s="1212"/>
      <c r="C25" s="420" t="s">
        <v>164</v>
      </c>
      <c r="D25" s="1212"/>
      <c r="E25" s="420" t="s">
        <v>162</v>
      </c>
      <c r="F25" s="421"/>
      <c r="G25" s="421"/>
      <c r="H25" s="422">
        <f t="shared" si="0"/>
        <v>0</v>
      </c>
    </row>
    <row r="26" spans="1:8" x14ac:dyDescent="0.3">
      <c r="A26" s="1211"/>
      <c r="B26" s="1212"/>
      <c r="C26" s="420" t="s">
        <v>164</v>
      </c>
      <c r="D26" s="1212">
        <v>2</v>
      </c>
      <c r="E26" s="420" t="s">
        <v>160</v>
      </c>
      <c r="F26" s="421"/>
      <c r="G26" s="421"/>
      <c r="H26" s="422">
        <f t="shared" si="0"/>
        <v>0</v>
      </c>
    </row>
    <row r="27" spans="1:8" x14ac:dyDescent="0.3">
      <c r="A27" s="1211"/>
      <c r="B27" s="1212"/>
      <c r="C27" s="420" t="s">
        <v>164</v>
      </c>
      <c r="D27" s="1212"/>
      <c r="E27" s="420" t="s">
        <v>162</v>
      </c>
      <c r="F27" s="421"/>
      <c r="G27" s="421"/>
      <c r="H27" s="422">
        <f t="shared" si="0"/>
        <v>0</v>
      </c>
    </row>
    <row r="28" spans="1:8" x14ac:dyDescent="0.3">
      <c r="A28" s="1211" t="s">
        <v>165</v>
      </c>
      <c r="B28" s="420">
        <v>220</v>
      </c>
      <c r="C28" s="420">
        <v>220</v>
      </c>
      <c r="D28" s="420" t="s">
        <v>159</v>
      </c>
      <c r="E28" s="420" t="s">
        <v>159</v>
      </c>
      <c r="F28" s="421"/>
      <c r="G28" s="421"/>
      <c r="H28" s="422">
        <f t="shared" si="0"/>
        <v>0</v>
      </c>
    </row>
    <row r="29" spans="1:8" x14ac:dyDescent="0.3">
      <c r="A29" s="1211"/>
      <c r="B29" s="420">
        <v>110</v>
      </c>
      <c r="C29" s="420">
        <v>110</v>
      </c>
      <c r="D29" s="420" t="s">
        <v>159</v>
      </c>
      <c r="E29" s="420" t="s">
        <v>159</v>
      </c>
      <c r="F29" s="421"/>
      <c r="G29" s="421"/>
      <c r="H29" s="422">
        <f t="shared" si="0"/>
        <v>0</v>
      </c>
    </row>
    <row r="30" spans="1:8" x14ac:dyDescent="0.3">
      <c r="A30" s="423" t="s">
        <v>166</v>
      </c>
      <c r="B30" s="420"/>
      <c r="C30" s="420"/>
      <c r="D30" s="420"/>
      <c r="E30" s="420"/>
      <c r="F30" s="424"/>
      <c r="G30" s="424"/>
      <c r="H30" s="425">
        <f>SUM(H18:H29)</f>
        <v>0</v>
      </c>
    </row>
    <row r="31" spans="1:8" x14ac:dyDescent="0.3">
      <c r="A31" s="1211" t="s">
        <v>158</v>
      </c>
      <c r="B31" s="1212">
        <v>35</v>
      </c>
      <c r="C31" s="420">
        <v>35</v>
      </c>
      <c r="D31" s="1212">
        <v>1</v>
      </c>
      <c r="E31" s="420" t="s">
        <v>163</v>
      </c>
      <c r="F31" s="426"/>
      <c r="G31" s="426"/>
      <c r="H31" s="422">
        <f t="shared" ref="H31:H39" si="1">F31*G31/100</f>
        <v>0</v>
      </c>
    </row>
    <row r="32" spans="1:8" x14ac:dyDescent="0.3">
      <c r="A32" s="1211"/>
      <c r="B32" s="1212"/>
      <c r="C32" s="420">
        <v>35</v>
      </c>
      <c r="D32" s="1212"/>
      <c r="E32" s="420" t="s">
        <v>160</v>
      </c>
      <c r="F32" s="426">
        <v>140</v>
      </c>
      <c r="G32" s="426">
        <v>16.3</v>
      </c>
      <c r="H32" s="422">
        <v>22.8</v>
      </c>
    </row>
    <row r="33" spans="1:8" x14ac:dyDescent="0.3">
      <c r="A33" s="1211"/>
      <c r="B33" s="1212"/>
      <c r="C33" s="420">
        <v>35</v>
      </c>
      <c r="D33" s="1212"/>
      <c r="E33" s="420" t="s">
        <v>162</v>
      </c>
      <c r="F33" s="426">
        <v>120</v>
      </c>
      <c r="G33" s="426">
        <v>24.4</v>
      </c>
      <c r="H33" s="422">
        <v>29.2</v>
      </c>
    </row>
    <row r="34" spans="1:8" x14ac:dyDescent="0.3">
      <c r="A34" s="1211"/>
      <c r="B34" s="1212"/>
      <c r="C34" s="420">
        <v>35</v>
      </c>
      <c r="D34" s="1212">
        <v>2</v>
      </c>
      <c r="E34" s="420" t="s">
        <v>160</v>
      </c>
      <c r="F34" s="426"/>
      <c r="G34" s="426"/>
      <c r="H34" s="422"/>
    </row>
    <row r="35" spans="1:8" x14ac:dyDescent="0.3">
      <c r="A35" s="1211"/>
      <c r="B35" s="1212"/>
      <c r="C35" s="420">
        <v>35</v>
      </c>
      <c r="D35" s="1212"/>
      <c r="E35" s="420" t="s">
        <v>162</v>
      </c>
      <c r="F35" s="426"/>
      <c r="G35" s="426"/>
      <c r="H35" s="422"/>
    </row>
    <row r="36" spans="1:8" x14ac:dyDescent="0.3">
      <c r="A36" s="1211"/>
      <c r="B36" s="1212" t="s">
        <v>167</v>
      </c>
      <c r="C36" s="420" t="s">
        <v>168</v>
      </c>
      <c r="D36" s="1212" t="s">
        <v>159</v>
      </c>
      <c r="E36" s="420" t="s">
        <v>163</v>
      </c>
      <c r="F36" s="426">
        <v>160</v>
      </c>
      <c r="G36" s="427">
        <v>2.2000000000000002</v>
      </c>
      <c r="H36" s="422">
        <v>3.5</v>
      </c>
    </row>
    <row r="37" spans="1:8" x14ac:dyDescent="0.3">
      <c r="A37" s="1211"/>
      <c r="B37" s="1212"/>
      <c r="C37" s="420" t="s">
        <v>168</v>
      </c>
      <c r="D37" s="1212"/>
      <c r="E37" s="420" t="s">
        <v>169</v>
      </c>
      <c r="F37" s="426">
        <v>140</v>
      </c>
      <c r="G37" s="426">
        <v>41.9</v>
      </c>
      <c r="H37" s="422">
        <v>58.6</v>
      </c>
    </row>
    <row r="38" spans="1:8" x14ac:dyDescent="0.3">
      <c r="A38" s="1211"/>
      <c r="B38" s="1212"/>
      <c r="C38" s="420" t="s">
        <v>168</v>
      </c>
      <c r="D38" s="1212"/>
      <c r="E38" s="420" t="s">
        <v>170</v>
      </c>
      <c r="F38" s="426">
        <v>110</v>
      </c>
      <c r="G38" s="426">
        <v>1.1000000000000001</v>
      </c>
      <c r="H38" s="422">
        <v>1.2</v>
      </c>
    </row>
    <row r="39" spans="1:8" x14ac:dyDescent="0.3">
      <c r="A39" s="1211" t="s">
        <v>165</v>
      </c>
      <c r="B39" s="420" t="s">
        <v>171</v>
      </c>
      <c r="C39" s="420" t="s">
        <v>172</v>
      </c>
      <c r="D39" s="420" t="s">
        <v>159</v>
      </c>
      <c r="E39" s="420" t="s">
        <v>159</v>
      </c>
      <c r="F39" s="426"/>
      <c r="G39" s="426"/>
      <c r="H39" s="422">
        <f t="shared" si="1"/>
        <v>0</v>
      </c>
    </row>
    <row r="40" spans="1:8" x14ac:dyDescent="0.3">
      <c r="A40" s="1211"/>
      <c r="B40" s="420" t="s">
        <v>173</v>
      </c>
      <c r="C40" s="420" t="s">
        <v>174</v>
      </c>
      <c r="D40" s="420" t="s">
        <v>159</v>
      </c>
      <c r="E40" s="420" t="s">
        <v>159</v>
      </c>
      <c r="F40" s="426">
        <v>350</v>
      </c>
      <c r="G40" s="427">
        <v>17</v>
      </c>
      <c r="H40" s="422">
        <v>59.6</v>
      </c>
    </row>
    <row r="41" spans="1:8" x14ac:dyDescent="0.3">
      <c r="A41" s="423" t="s">
        <v>175</v>
      </c>
      <c r="B41" s="420"/>
      <c r="C41" s="420"/>
      <c r="D41" s="420"/>
      <c r="E41" s="420"/>
      <c r="F41" s="424"/>
      <c r="G41" s="424"/>
      <c r="H41" s="425">
        <v>52.1</v>
      </c>
    </row>
    <row r="42" spans="1:8" x14ac:dyDescent="0.3">
      <c r="A42" s="423" t="s">
        <v>176</v>
      </c>
      <c r="B42" s="420"/>
      <c r="C42" s="420"/>
      <c r="D42" s="420"/>
      <c r="E42" s="420"/>
      <c r="F42" s="424"/>
      <c r="G42" s="424"/>
      <c r="H42" s="428">
        <v>122.9</v>
      </c>
    </row>
    <row r="43" spans="1:8" x14ac:dyDescent="0.3">
      <c r="A43" s="1211" t="s">
        <v>158</v>
      </c>
      <c r="B43" s="1212" t="s">
        <v>177</v>
      </c>
      <c r="C43" s="420" t="s">
        <v>178</v>
      </c>
      <c r="D43" s="1212" t="s">
        <v>159</v>
      </c>
      <c r="E43" s="420" t="s">
        <v>163</v>
      </c>
      <c r="F43" s="426">
        <v>260</v>
      </c>
      <c r="G43" s="427">
        <v>6.9</v>
      </c>
      <c r="H43" s="620">
        <v>17.8</v>
      </c>
    </row>
    <row r="44" spans="1:8" x14ac:dyDescent="0.3">
      <c r="A44" s="1211"/>
      <c r="B44" s="1212"/>
      <c r="C44" s="420" t="s">
        <v>178</v>
      </c>
      <c r="D44" s="1212"/>
      <c r="E44" s="420" t="s">
        <v>169</v>
      </c>
      <c r="F44" s="426">
        <v>220</v>
      </c>
      <c r="G44" s="426">
        <v>95.2</v>
      </c>
      <c r="H44" s="620">
        <v>209.5</v>
      </c>
    </row>
    <row r="45" spans="1:8" x14ac:dyDescent="0.3">
      <c r="A45" s="1211"/>
      <c r="B45" s="1212"/>
      <c r="C45" s="420" t="s">
        <v>178</v>
      </c>
      <c r="D45" s="1212"/>
      <c r="E45" s="420" t="s">
        <v>170</v>
      </c>
      <c r="F45" s="426">
        <v>150</v>
      </c>
      <c r="G45" s="426">
        <v>3.7</v>
      </c>
      <c r="H45" s="620">
        <v>5.6</v>
      </c>
    </row>
    <row r="46" spans="1:8" x14ac:dyDescent="0.3">
      <c r="A46" s="423" t="s">
        <v>165</v>
      </c>
      <c r="B46" s="420" t="s">
        <v>179</v>
      </c>
      <c r="C46" s="420" t="s">
        <v>180</v>
      </c>
      <c r="D46" s="420" t="s">
        <v>159</v>
      </c>
      <c r="E46" s="420" t="s">
        <v>159</v>
      </c>
      <c r="F46" s="426">
        <v>270</v>
      </c>
      <c r="G46" s="427">
        <v>19.399999999999999</v>
      </c>
      <c r="H46" s="620">
        <v>52.4</v>
      </c>
    </row>
    <row r="47" spans="1:8" ht="13.5" thickBot="1" x14ac:dyDescent="0.35">
      <c r="A47" s="429" t="s">
        <v>181</v>
      </c>
      <c r="B47" s="430"/>
      <c r="C47" s="430"/>
      <c r="D47" s="430"/>
      <c r="E47" s="430"/>
      <c r="F47" s="431"/>
      <c r="G47" s="431"/>
      <c r="H47" s="432">
        <f>SUM(H43:H46)</f>
        <v>285.3</v>
      </c>
    </row>
    <row r="49" spans="2:7" x14ac:dyDescent="0.3">
      <c r="B49" s="433" t="s">
        <v>828</v>
      </c>
      <c r="C49" s="433"/>
      <c r="D49" s="433"/>
      <c r="E49" s="433"/>
      <c r="F49" s="433"/>
      <c r="G49" s="433"/>
    </row>
  </sheetData>
  <protectedRanges>
    <protectedRange sqref="F10:G47" name="Диапазон1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8" sqref="C18"/>
    </sheetView>
  </sheetViews>
  <sheetFormatPr defaultRowHeight="14.5" x14ac:dyDescent="0.35"/>
  <cols>
    <col min="1" max="1" width="4.1796875" style="41" customWidth="1"/>
    <col min="2" max="2" width="35.26953125" style="41" customWidth="1"/>
    <col min="3" max="3" width="10.7265625" style="41" customWidth="1"/>
    <col min="4" max="5" width="8.7265625" style="41"/>
    <col min="6" max="7" width="9.36328125" style="41" bestFit="1" customWidth="1"/>
    <col min="8" max="9" width="8.7265625" style="41"/>
    <col min="10" max="10" width="9.26953125" style="41" bestFit="1" customWidth="1"/>
    <col min="11" max="16384" width="8.7265625" style="41"/>
  </cols>
  <sheetData>
    <row r="1" spans="1:7" ht="15" customHeight="1" x14ac:dyDescent="0.35"/>
    <row r="2" spans="1:7" x14ac:dyDescent="0.35">
      <c r="B2" s="1217" t="s">
        <v>197</v>
      </c>
      <c r="C2" s="1217"/>
      <c r="D2" s="1217"/>
      <c r="E2" s="1217"/>
      <c r="F2" s="1217"/>
      <c r="G2" s="1217"/>
    </row>
    <row r="3" spans="1:7" x14ac:dyDescent="0.35">
      <c r="B3" s="1217" t="s">
        <v>217</v>
      </c>
      <c r="C3" s="1217"/>
      <c r="D3" s="1217"/>
      <c r="E3" s="1217"/>
      <c r="F3" s="1217"/>
      <c r="G3" s="1217"/>
    </row>
    <row r="4" spans="1:7" ht="15" thickBot="1" x14ac:dyDescent="0.4">
      <c r="F4" s="41" t="s">
        <v>1108</v>
      </c>
    </row>
    <row r="5" spans="1:7" ht="15" thickTop="1" x14ac:dyDescent="0.35">
      <c r="A5" s="1218" t="s">
        <v>187</v>
      </c>
      <c r="B5" s="1220" t="s">
        <v>188</v>
      </c>
      <c r="C5" s="1222" t="s">
        <v>1270</v>
      </c>
      <c r="D5" s="1223"/>
      <c r="E5" s="1223"/>
      <c r="F5" s="1223"/>
      <c r="G5" s="1224"/>
    </row>
    <row r="6" spans="1:7" x14ac:dyDescent="0.35">
      <c r="A6" s="1219"/>
      <c r="B6" s="1221"/>
      <c r="C6" s="454" t="s">
        <v>189</v>
      </c>
      <c r="D6" s="454" t="s">
        <v>147</v>
      </c>
      <c r="E6" s="454" t="s">
        <v>190</v>
      </c>
      <c r="F6" s="454" t="s">
        <v>191</v>
      </c>
      <c r="G6" s="454" t="s">
        <v>150</v>
      </c>
    </row>
    <row r="7" spans="1:7" x14ac:dyDescent="0.35">
      <c r="A7" s="459">
        <v>1</v>
      </c>
      <c r="B7" s="227">
        <v>2</v>
      </c>
      <c r="C7" s="226">
        <v>3</v>
      </c>
      <c r="D7" s="227">
        <v>4</v>
      </c>
      <c r="E7" s="226">
        <v>5</v>
      </c>
      <c r="F7" s="227">
        <v>6</v>
      </c>
      <c r="G7" s="226">
        <v>7</v>
      </c>
    </row>
    <row r="8" spans="1:7" x14ac:dyDescent="0.35">
      <c r="A8" s="460" t="s">
        <v>26</v>
      </c>
      <c r="B8" s="461" t="s">
        <v>198</v>
      </c>
      <c r="C8" s="463">
        <f>C9+C16</f>
        <v>86800</v>
      </c>
      <c r="D8" s="463">
        <f>D16</f>
        <v>0</v>
      </c>
      <c r="E8" s="463">
        <v>2200</v>
      </c>
      <c r="F8" s="463">
        <v>84600</v>
      </c>
      <c r="G8" s="464">
        <f>G9+G17</f>
        <v>0</v>
      </c>
    </row>
    <row r="9" spans="1:7" x14ac:dyDescent="0.35">
      <c r="A9" s="460" t="s">
        <v>195</v>
      </c>
      <c r="B9" s="461" t="s">
        <v>193</v>
      </c>
      <c r="C9" s="463">
        <f>D9+E9+F9+G9</f>
        <v>69400</v>
      </c>
      <c r="D9" s="463"/>
      <c r="E9" s="463"/>
      <c r="F9" s="463">
        <v>69400</v>
      </c>
      <c r="G9" s="464"/>
    </row>
    <row r="10" spans="1:7" x14ac:dyDescent="0.35">
      <c r="A10" s="460"/>
      <c r="B10" s="461" t="s">
        <v>194</v>
      </c>
      <c r="C10" s="463">
        <f t="shared" ref="C10:C14" si="0">D10+E10+F10+G10</f>
        <v>60333.79</v>
      </c>
      <c r="D10" s="463"/>
      <c r="E10" s="463"/>
      <c r="F10" s="463">
        <f>F11+F12+F13+F14</f>
        <v>2133.79</v>
      </c>
      <c r="G10" s="463">
        <f>G11+G12+G13+G14</f>
        <v>58200</v>
      </c>
    </row>
    <row r="11" spans="1:7" x14ac:dyDescent="0.35">
      <c r="A11" s="460"/>
      <c r="B11" s="461" t="s">
        <v>147</v>
      </c>
      <c r="C11" s="463">
        <f t="shared" si="0"/>
        <v>0</v>
      </c>
      <c r="D11" s="463"/>
      <c r="E11" s="463"/>
      <c r="F11" s="463"/>
      <c r="G11" s="464"/>
    </row>
    <row r="12" spans="1:7" x14ac:dyDescent="0.35">
      <c r="A12" s="460"/>
      <c r="B12" s="461" t="s">
        <v>190</v>
      </c>
      <c r="C12" s="463">
        <f t="shared" si="0"/>
        <v>2133.79</v>
      </c>
      <c r="D12" s="463"/>
      <c r="E12" s="463"/>
      <c r="F12" s="463">
        <v>2133.79</v>
      </c>
      <c r="G12" s="464"/>
    </row>
    <row r="13" spans="1:7" x14ac:dyDescent="0.35">
      <c r="A13" s="460"/>
      <c r="B13" s="461" t="s">
        <v>191</v>
      </c>
      <c r="C13" s="463">
        <f t="shared" si="0"/>
        <v>58200</v>
      </c>
      <c r="D13" s="463"/>
      <c r="E13" s="463"/>
      <c r="F13" s="463"/>
      <c r="G13" s="464">
        <v>58200</v>
      </c>
    </row>
    <row r="14" spans="1:7" x14ac:dyDescent="0.35">
      <c r="A14" s="460"/>
      <c r="B14" s="461" t="s">
        <v>150</v>
      </c>
      <c r="C14" s="463">
        <f t="shared" si="0"/>
        <v>0</v>
      </c>
      <c r="D14" s="463"/>
      <c r="E14" s="463"/>
      <c r="F14" s="463"/>
      <c r="G14" s="464"/>
    </row>
    <row r="15" spans="1:7" x14ac:dyDescent="0.35">
      <c r="A15" s="460" t="s">
        <v>196</v>
      </c>
      <c r="B15" s="461" t="s">
        <v>199</v>
      </c>
      <c r="C15" s="463"/>
      <c r="D15" s="463"/>
      <c r="E15" s="463"/>
      <c r="F15" s="463"/>
      <c r="G15" s="464"/>
    </row>
    <row r="16" spans="1:7" ht="26" x14ac:dyDescent="0.35">
      <c r="A16" s="460" t="s">
        <v>200</v>
      </c>
      <c r="B16" s="461" t="s">
        <v>192</v>
      </c>
      <c r="C16" s="462">
        <f>D16+E16+F16+G16</f>
        <v>17400</v>
      </c>
      <c r="D16" s="463"/>
      <c r="E16" s="463">
        <v>2200</v>
      </c>
      <c r="F16" s="463">
        <v>15200</v>
      </c>
      <c r="G16" s="464"/>
    </row>
    <row r="17" spans="1:10" ht="25" x14ac:dyDescent="0.35">
      <c r="A17" s="460" t="s">
        <v>201</v>
      </c>
      <c r="B17" s="465" t="s">
        <v>202</v>
      </c>
      <c r="C17" s="462">
        <f>D17+E17+F17+G17</f>
        <v>0</v>
      </c>
      <c r="D17" s="463"/>
      <c r="E17" s="463"/>
      <c r="F17" s="463"/>
      <c r="G17" s="464"/>
    </row>
    <row r="18" spans="1:10" x14ac:dyDescent="0.35">
      <c r="A18" s="460" t="s">
        <v>28</v>
      </c>
      <c r="B18" s="461" t="s">
        <v>203</v>
      </c>
      <c r="C18" s="463">
        <f>E18+F18+G18</f>
        <v>11483.86</v>
      </c>
      <c r="D18" s="463"/>
      <c r="E18" s="463">
        <v>66.209999999999994</v>
      </c>
      <c r="F18" s="463">
        <v>3991.33</v>
      </c>
      <c r="G18" s="464">
        <v>7426.32</v>
      </c>
    </row>
    <row r="19" spans="1:10" x14ac:dyDescent="0.35">
      <c r="A19" s="460"/>
      <c r="B19" s="466" t="s">
        <v>204</v>
      </c>
      <c r="C19" s="467">
        <f>C18/C8</f>
        <v>0.132302534562212</v>
      </c>
      <c r="D19" s="468"/>
      <c r="E19" s="467">
        <f>E18/E8</f>
        <v>3.0095454545454543E-2</v>
      </c>
      <c r="F19" s="467">
        <f>F18/F8</f>
        <v>4.7178841607565011E-2</v>
      </c>
      <c r="G19" s="469">
        <f>G18/G10</f>
        <v>0.12759999999999999</v>
      </c>
    </row>
    <row r="20" spans="1:10" ht="37.5" x14ac:dyDescent="0.35">
      <c r="A20" s="460" t="s">
        <v>30</v>
      </c>
      <c r="B20" s="470" t="s">
        <v>205</v>
      </c>
      <c r="C20" s="463"/>
      <c r="D20" s="463"/>
      <c r="E20" s="463"/>
      <c r="F20" s="463"/>
      <c r="G20" s="464"/>
      <c r="J20" s="614"/>
    </row>
    <row r="21" spans="1:10" x14ac:dyDescent="0.35">
      <c r="A21" s="460" t="s">
        <v>206</v>
      </c>
      <c r="B21" s="461" t="s">
        <v>207</v>
      </c>
      <c r="C21" s="463">
        <v>75316.14</v>
      </c>
      <c r="D21" s="463"/>
      <c r="E21" s="463"/>
      <c r="F21" s="463">
        <v>24542.46</v>
      </c>
      <c r="G21" s="464">
        <v>50773.68</v>
      </c>
    </row>
    <row r="22" spans="1:10" x14ac:dyDescent="0.35">
      <c r="A22" s="460" t="s">
        <v>208</v>
      </c>
      <c r="B22" s="461" t="s">
        <v>209</v>
      </c>
      <c r="C22" s="463"/>
      <c r="D22" s="463"/>
      <c r="E22" s="463"/>
      <c r="F22" s="463"/>
      <c r="G22" s="464"/>
    </row>
    <row r="23" spans="1:10" x14ac:dyDescent="0.35">
      <c r="A23" s="460"/>
      <c r="B23" s="461" t="s">
        <v>210</v>
      </c>
      <c r="C23" s="463"/>
      <c r="D23" s="463"/>
      <c r="E23" s="463"/>
      <c r="F23" s="463"/>
      <c r="G23" s="464"/>
    </row>
    <row r="24" spans="1:10" ht="26" x14ac:dyDescent="0.35">
      <c r="A24" s="460"/>
      <c r="B24" s="461" t="s">
        <v>211</v>
      </c>
      <c r="C24" s="463"/>
      <c r="D24" s="463"/>
      <c r="E24" s="463"/>
      <c r="F24" s="463"/>
      <c r="G24" s="464"/>
    </row>
    <row r="25" spans="1:10" x14ac:dyDescent="0.35">
      <c r="A25" s="460"/>
      <c r="B25" s="461" t="s">
        <v>212</v>
      </c>
      <c r="C25" s="463"/>
      <c r="D25" s="463"/>
      <c r="E25" s="463"/>
      <c r="F25" s="463"/>
      <c r="G25" s="464"/>
    </row>
    <row r="26" spans="1:10" x14ac:dyDescent="0.35">
      <c r="A26" s="460" t="s">
        <v>213</v>
      </c>
      <c r="B26" s="471" t="s">
        <v>214</v>
      </c>
      <c r="C26" s="463"/>
      <c r="D26" s="463"/>
      <c r="E26" s="463"/>
      <c r="F26" s="463"/>
      <c r="G26" s="464"/>
    </row>
    <row r="27" spans="1:10" ht="15" thickBot="1" x14ac:dyDescent="0.4">
      <c r="A27" s="472" t="s">
        <v>215</v>
      </c>
      <c r="B27" s="473" t="s">
        <v>216</v>
      </c>
      <c r="C27" s="474"/>
      <c r="D27" s="474"/>
      <c r="E27" s="474"/>
      <c r="F27" s="474"/>
      <c r="G27" s="475"/>
    </row>
    <row r="28" spans="1:10" ht="15" thickTop="1" x14ac:dyDescent="0.35">
      <c r="A28" s="477"/>
      <c r="B28" s="476"/>
      <c r="C28" s="478"/>
      <c r="D28" s="478"/>
      <c r="E28" s="478"/>
      <c r="F28" s="478"/>
      <c r="G28" s="478"/>
    </row>
    <row r="29" spans="1:10" x14ac:dyDescent="0.35">
      <c r="A29" s="477"/>
      <c r="B29" s="476"/>
      <c r="C29" s="478"/>
      <c r="D29" s="478"/>
      <c r="E29" s="478"/>
      <c r="F29" s="478"/>
      <c r="G29" s="478"/>
    </row>
    <row r="31" spans="1:10" x14ac:dyDescent="0.35">
      <c r="B31" s="476" t="s">
        <v>852</v>
      </c>
      <c r="E31" s="41" t="s">
        <v>963</v>
      </c>
    </row>
  </sheetData>
  <mergeCells count="5">
    <mergeCell ref="B2:G2"/>
    <mergeCell ref="B3:G3"/>
    <mergeCell ref="A5:A6"/>
    <mergeCell ref="B5:B6"/>
    <mergeCell ref="C5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A3" sqref="A3:G3"/>
    </sheetView>
  </sheetViews>
  <sheetFormatPr defaultColWidth="9.1796875" defaultRowHeight="14" x14ac:dyDescent="0.3"/>
  <cols>
    <col min="1" max="1" width="63.81640625" style="592" customWidth="1"/>
    <col min="2" max="2" width="12.453125" style="592" customWidth="1"/>
    <col min="3" max="3" width="13.453125" style="592" customWidth="1"/>
    <col min="4" max="7" width="15.7265625" style="592" customWidth="1"/>
    <col min="8" max="16384" width="9.1796875" style="592"/>
  </cols>
  <sheetData>
    <row r="1" spans="1:7" s="588" customFormat="1" ht="16.5" customHeight="1" x14ac:dyDescent="0.35">
      <c r="A1" s="1228" t="s">
        <v>1226</v>
      </c>
      <c r="B1" s="1228"/>
      <c r="C1" s="1228"/>
      <c r="D1" s="1228"/>
      <c r="E1" s="1228"/>
      <c r="F1" s="1228"/>
      <c r="G1" s="1228"/>
    </row>
    <row r="2" spans="1:7" s="588" customFormat="1" ht="16.5" customHeight="1" x14ac:dyDescent="0.35">
      <c r="A2" s="1233" t="s">
        <v>1472</v>
      </c>
      <c r="B2" s="1233"/>
      <c r="C2" s="1233"/>
      <c r="D2" s="1233"/>
      <c r="E2" s="1233"/>
      <c r="F2" s="1233"/>
      <c r="G2" s="1233"/>
    </row>
    <row r="3" spans="1:7" s="588" customFormat="1" ht="15.5" x14ac:dyDescent="0.35">
      <c r="A3" s="1229" t="s">
        <v>1227</v>
      </c>
      <c r="B3" s="1229"/>
      <c r="C3" s="1229"/>
      <c r="D3" s="1229"/>
      <c r="E3" s="1229"/>
      <c r="F3" s="1229"/>
      <c r="G3" s="1229"/>
    </row>
    <row r="4" spans="1:7" s="589" customFormat="1" ht="15.5" x14ac:dyDescent="0.35">
      <c r="A4" s="1230" t="s">
        <v>1228</v>
      </c>
      <c r="B4" s="1231"/>
      <c r="C4" s="1231"/>
      <c r="D4" s="1231"/>
      <c r="E4" s="1231"/>
      <c r="F4" s="1231"/>
      <c r="G4" s="1231"/>
    </row>
    <row r="5" spans="1:7" x14ac:dyDescent="0.3">
      <c r="A5" s="590"/>
      <c r="B5" s="590"/>
      <c r="C5" s="590"/>
      <c r="D5" s="590"/>
      <c r="E5" s="590"/>
      <c r="F5" s="590"/>
      <c r="G5" s="591"/>
    </row>
    <row r="6" spans="1:7" x14ac:dyDescent="0.3">
      <c r="A6" s="1232" t="s">
        <v>276</v>
      </c>
      <c r="B6" s="1232" t="s">
        <v>1229</v>
      </c>
      <c r="C6" s="1232" t="s">
        <v>189</v>
      </c>
      <c r="D6" s="1232" t="s">
        <v>1230</v>
      </c>
      <c r="E6" s="1232"/>
      <c r="F6" s="1232"/>
      <c r="G6" s="1232"/>
    </row>
    <row r="7" spans="1:7" x14ac:dyDescent="0.3">
      <c r="A7" s="1232"/>
      <c r="B7" s="1232"/>
      <c r="C7" s="1232"/>
      <c r="D7" s="593" t="s">
        <v>147</v>
      </c>
      <c r="E7" s="593" t="s">
        <v>148</v>
      </c>
      <c r="F7" s="593" t="s">
        <v>149</v>
      </c>
      <c r="G7" s="593" t="s">
        <v>150</v>
      </c>
    </row>
    <row r="8" spans="1:7" ht="15" customHeight="1" x14ac:dyDescent="0.3">
      <c r="A8" s="594">
        <v>1</v>
      </c>
      <c r="B8" s="594">
        <v>2</v>
      </c>
      <c r="C8" s="594">
        <v>3</v>
      </c>
      <c r="D8" s="594">
        <v>4</v>
      </c>
      <c r="E8" s="594">
        <v>5</v>
      </c>
      <c r="F8" s="594">
        <v>6</v>
      </c>
      <c r="G8" s="594">
        <v>7</v>
      </c>
    </row>
    <row r="9" spans="1:7" ht="15" customHeight="1" x14ac:dyDescent="0.3">
      <c r="A9" s="1225" t="s">
        <v>1264</v>
      </c>
      <c r="B9" s="1225"/>
      <c r="C9" s="1225"/>
      <c r="D9" s="1225"/>
      <c r="E9" s="1225"/>
      <c r="F9" s="1225"/>
      <c r="G9" s="1225"/>
    </row>
    <row r="10" spans="1:7" ht="15" customHeight="1" x14ac:dyDescent="0.3">
      <c r="A10" s="595" t="s">
        <v>1231</v>
      </c>
      <c r="B10" s="596" t="s">
        <v>1232</v>
      </c>
      <c r="C10" s="610">
        <f>SUM(D10:G10)</f>
        <v>86692.855999999985</v>
      </c>
      <c r="D10" s="597">
        <f>SUM(D11:D13)</f>
        <v>0</v>
      </c>
      <c r="E10" s="597">
        <f>SUM(E11:E13)</f>
        <v>2161.2719999999999</v>
      </c>
      <c r="F10" s="597">
        <f>SUM(F11:F13)</f>
        <v>84531.583999999988</v>
      </c>
      <c r="G10" s="597">
        <f>SUM(G11:G13)</f>
        <v>0</v>
      </c>
    </row>
    <row r="11" spans="1:7" ht="15" customHeight="1" x14ac:dyDescent="0.3">
      <c r="A11" s="595" t="s">
        <v>1233</v>
      </c>
      <c r="B11" s="596" t="s">
        <v>1232</v>
      </c>
      <c r="C11" s="597">
        <f t="shared" ref="C11:C14" si="0">SUM(D11:G11)</f>
        <v>17318.325000000001</v>
      </c>
      <c r="D11" s="598"/>
      <c r="E11" s="598">
        <v>2161.2719999999999</v>
      </c>
      <c r="F11" s="598">
        <v>15157.053</v>
      </c>
      <c r="G11" s="598"/>
    </row>
    <row r="12" spans="1:7" ht="15" customHeight="1" x14ac:dyDescent="0.3">
      <c r="A12" s="595" t="s">
        <v>1234</v>
      </c>
      <c r="B12" s="596" t="s">
        <v>1232</v>
      </c>
      <c r="C12" s="597">
        <f t="shared" si="0"/>
        <v>0</v>
      </c>
      <c r="D12" s="598"/>
      <c r="E12" s="598"/>
      <c r="F12" s="598"/>
      <c r="G12" s="598"/>
    </row>
    <row r="13" spans="1:7" ht="15" customHeight="1" x14ac:dyDescent="0.3">
      <c r="A13" s="595" t="s">
        <v>1235</v>
      </c>
      <c r="B13" s="596" t="s">
        <v>1232</v>
      </c>
      <c r="C13" s="597">
        <f t="shared" si="0"/>
        <v>69374.530999999988</v>
      </c>
      <c r="D13" s="598"/>
      <c r="E13" s="598"/>
      <c r="F13" s="598">
        <f>69374.472+0.059</f>
        <v>69374.530999999988</v>
      </c>
      <c r="G13" s="598"/>
    </row>
    <row r="14" spans="1:7" ht="15" customHeight="1" x14ac:dyDescent="0.3">
      <c r="A14" s="595" t="s">
        <v>1236</v>
      </c>
      <c r="B14" s="596" t="s">
        <v>1232</v>
      </c>
      <c r="C14" s="597">
        <f t="shared" si="0"/>
        <v>60154.543000000005</v>
      </c>
      <c r="D14" s="599"/>
      <c r="E14" s="598"/>
      <c r="F14" s="598">
        <v>2096.23</v>
      </c>
      <c r="G14" s="598">
        <v>58058.313000000002</v>
      </c>
    </row>
    <row r="15" spans="1:7" ht="15" customHeight="1" x14ac:dyDescent="0.3">
      <c r="A15" s="595" t="s">
        <v>1237</v>
      </c>
      <c r="B15" s="596" t="s">
        <v>1232</v>
      </c>
      <c r="C15" s="597">
        <f>C10</f>
        <v>86692.855999999985</v>
      </c>
      <c r="D15" s="597">
        <f>D10+D14</f>
        <v>0</v>
      </c>
      <c r="E15" s="597">
        <f>E10+E14</f>
        <v>2161.2719999999999</v>
      </c>
      <c r="F15" s="597">
        <f>F10+F14</f>
        <v>86627.813999999984</v>
      </c>
      <c r="G15" s="597">
        <f>G10+G14</f>
        <v>58058.313000000002</v>
      </c>
    </row>
    <row r="16" spans="1:7" ht="15" customHeight="1" x14ac:dyDescent="0.3">
      <c r="A16" s="1226" t="s">
        <v>1238</v>
      </c>
      <c r="B16" s="596" t="s">
        <v>1232</v>
      </c>
      <c r="C16" s="597">
        <f>SUM(D16:G16)</f>
        <v>15968.355999999998</v>
      </c>
      <c r="D16" s="598"/>
      <c r="E16" s="598">
        <v>65.040000000000006</v>
      </c>
      <c r="F16" s="598">
        <v>3986.45</v>
      </c>
      <c r="G16" s="598">
        <f>15968.356-E16-F16</f>
        <v>11916.865999999998</v>
      </c>
    </row>
    <row r="17" spans="1:7" ht="15" customHeight="1" x14ac:dyDescent="0.3">
      <c r="A17" s="1227"/>
      <c r="B17" s="596" t="s">
        <v>310</v>
      </c>
      <c r="C17" s="597">
        <f>IFERROR(C16/C15*100,0)</f>
        <v>18.419460076387377</v>
      </c>
      <c r="D17" s="597">
        <f>IFERROR(D16/D15*100,0)</f>
        <v>0</v>
      </c>
      <c r="E17" s="597">
        <f t="shared" ref="E17:G17" si="1">IFERROR(E16/E15*100,0)</f>
        <v>3.0093389448435923</v>
      </c>
      <c r="F17" s="597">
        <f t="shared" si="1"/>
        <v>4.6018129927646569</v>
      </c>
      <c r="G17" s="597">
        <f t="shared" si="1"/>
        <v>20.525684237501007</v>
      </c>
    </row>
    <row r="18" spans="1:7" ht="30" customHeight="1" x14ac:dyDescent="0.3">
      <c r="A18" s="595" t="s">
        <v>1239</v>
      </c>
      <c r="B18" s="596" t="s">
        <v>41</v>
      </c>
      <c r="C18" s="597">
        <f>SUM(D18:G18)</f>
        <v>219.16</v>
      </c>
      <c r="D18" s="598"/>
      <c r="E18" s="598">
        <v>40.68</v>
      </c>
      <c r="F18" s="598">
        <v>61.7</v>
      </c>
      <c r="G18" s="598">
        <v>116.78</v>
      </c>
    </row>
    <row r="19" spans="1:7" ht="30" customHeight="1" x14ac:dyDescent="0.3">
      <c r="A19" s="595" t="s">
        <v>1240</v>
      </c>
      <c r="B19" s="596" t="s">
        <v>41</v>
      </c>
      <c r="C19" s="597">
        <f>SUM(D19:G19)</f>
        <v>142.57</v>
      </c>
      <c r="D19" s="598"/>
      <c r="E19" s="598"/>
      <c r="F19" s="598">
        <v>44.83</v>
      </c>
      <c r="G19" s="598">
        <v>97.74</v>
      </c>
    </row>
    <row r="20" spans="1:7" ht="30" customHeight="1" x14ac:dyDescent="0.3">
      <c r="A20" s="595" t="s">
        <v>1241</v>
      </c>
      <c r="B20" s="596" t="s">
        <v>310</v>
      </c>
      <c r="C20" s="600"/>
      <c r="D20" s="597">
        <f>IFERROR(D19/D18*100,0)</f>
        <v>0</v>
      </c>
      <c r="E20" s="597">
        <f t="shared" ref="E20:G20" si="2">IFERROR(E19/E18*100,0)</f>
        <v>0</v>
      </c>
      <c r="F20" s="597">
        <f t="shared" si="2"/>
        <v>72.658022690437591</v>
      </c>
      <c r="G20" s="597">
        <f t="shared" si="2"/>
        <v>83.695838328480903</v>
      </c>
    </row>
    <row r="21" spans="1:7" ht="30" customHeight="1" x14ac:dyDescent="0.3">
      <c r="A21" s="595" t="s">
        <v>1242</v>
      </c>
      <c r="B21" s="596" t="s">
        <v>310</v>
      </c>
      <c r="C21" s="600"/>
      <c r="D21" s="597">
        <f>IFERROR(IF(AND(D$15/D$18&gt;0,D$15/D$18&lt;=1500),'[1]Приказ МЭ от 30.09.2014 № 674'!$C$11,IF(AND(D$15/D$18&gt;1500,D$15/D$18&lt;10000),'[1]Приказ МЭ от 30.09.2014 № 674'!$C$12,IF(D$15/D$18&gt;=10000,'[1]Приказ МЭ от 30.09.2014 № 674'!$C$13,0))),'[1]Приказ МЭ от 30.09.2014 № 674'!$C$13)</f>
        <v>2.0699999999999998</v>
      </c>
      <c r="E21" s="597">
        <f>IFERROR(IF(AND(E$15/E$18&gt;0,E$15/E$18&lt;=200),'[1]Приказ МЭ от 30.09.2014 № 674'!$C$15,IF(AND(E$15/E$18&gt;200,E$15/E$18&lt;1000),'[1]Приказ МЭ от 30.09.2014 № 674'!$C$16,IF(E$15/E$18&gt;=1000,'[1]Приказ МЭ от 30.09.2014 № 674'!$C$17,0))),'[1]Приказ МЭ от 30.09.2014 № 674'!$C$17)</f>
        <v>7.5</v>
      </c>
      <c r="F21" s="597">
        <f>IFERROR(IF(AND(F$15/F$18&gt;0,F$15/F$18&lt;1000,F$20&lt;30),'[1]Приказ МЭ от 30.09.2014 № 674'!$D$21,IF(AND(F$15/F$18&gt;=1000,F$20&lt;30),'[1]Приказ МЭ от 30.09.2014 № 674'!$D$22,IF(AND(F$15/F$18&gt;0,F$15/F$18&lt;1000,F$20&gt;=30),'[1]Приказ МЭ от 30.09.2014 № 674'!$D$23,IF(AND(F$15/F$18&gt;=1000,F$20&gt;=30),'[1]Приказ МЭ от 30.09.2014 № 674'!$D$24,)))),'[1]Приказ МЭ от 30.09.2014 № 674'!$D$22)</f>
        <v>4.8499999999999996</v>
      </c>
      <c r="G21" s="597">
        <f>IFERROR(IF(AND(G$15/G$18&gt;0,G$15/G$18&lt;1000,G$20&lt;30),'[1]Приказ МЭ от 30.09.2014 № 674'!$D$26,IF(AND(G$15/G$18&gt;=1000,G$20&lt;30),'[1]Приказ МЭ от 30.09.2014 № 674'!$D$27,IF(AND(G$15/G$18&gt;0,G$15/G$18&lt;1000,G$20&gt;=30),'[1]Приказ МЭ от 30.09.2014 № 674'!$D$28,IF(AND(G$15/G$18&gt;=1000,G$20&gt;=30),'[1]Приказ МЭ от 30.09.2014 № 674'!$D$29,)))),0)</f>
        <v>12.76</v>
      </c>
    </row>
    <row r="22" spans="1:7" ht="15" customHeight="1" x14ac:dyDescent="0.3">
      <c r="A22" s="1225" t="s">
        <v>1265</v>
      </c>
      <c r="B22" s="1225"/>
      <c r="C22" s="1225"/>
      <c r="D22" s="1225"/>
      <c r="E22" s="1225"/>
      <c r="F22" s="1225"/>
      <c r="G22" s="1225"/>
    </row>
    <row r="23" spans="1:7" ht="15" customHeight="1" x14ac:dyDescent="0.3">
      <c r="A23" s="595" t="s">
        <v>1231</v>
      </c>
      <c r="B23" s="596" t="s">
        <v>1232</v>
      </c>
      <c r="C23" s="597">
        <f>SUM(D23:G23)</f>
        <v>86800</v>
      </c>
      <c r="D23" s="597">
        <f>SUM(D24:D26)</f>
        <v>0</v>
      </c>
      <c r="E23" s="597">
        <f t="shared" ref="E23:G23" si="3">SUM(E24:E26)</f>
        <v>2200</v>
      </c>
      <c r="F23" s="597">
        <f t="shared" si="3"/>
        <v>84600</v>
      </c>
      <c r="G23" s="597">
        <f t="shared" si="3"/>
        <v>0</v>
      </c>
    </row>
    <row r="24" spans="1:7" ht="15" customHeight="1" x14ac:dyDescent="0.3">
      <c r="A24" s="595" t="s">
        <v>1233</v>
      </c>
      <c r="B24" s="596" t="s">
        <v>1232</v>
      </c>
      <c r="C24" s="597">
        <f t="shared" ref="C24:C27" si="4">SUM(D24:G24)</f>
        <v>17400</v>
      </c>
      <c r="D24" s="598"/>
      <c r="E24" s="598">
        <v>2200</v>
      </c>
      <c r="F24" s="598">
        <v>15200</v>
      </c>
      <c r="G24" s="598"/>
    </row>
    <row r="25" spans="1:7" ht="15" customHeight="1" x14ac:dyDescent="0.3">
      <c r="A25" s="595" t="s">
        <v>1234</v>
      </c>
      <c r="B25" s="596" t="s">
        <v>1232</v>
      </c>
      <c r="C25" s="597">
        <f t="shared" si="4"/>
        <v>0</v>
      </c>
      <c r="D25" s="598"/>
      <c r="E25" s="598"/>
      <c r="F25" s="598"/>
      <c r="G25" s="598"/>
    </row>
    <row r="26" spans="1:7" ht="15" customHeight="1" x14ac:dyDescent="0.3">
      <c r="A26" s="595" t="s">
        <v>1235</v>
      </c>
      <c r="B26" s="596" t="s">
        <v>1232</v>
      </c>
      <c r="C26" s="597">
        <f t="shared" si="4"/>
        <v>69400</v>
      </c>
      <c r="D26" s="598"/>
      <c r="E26" s="598"/>
      <c r="F26" s="598">
        <v>69400</v>
      </c>
      <c r="G26" s="598"/>
    </row>
    <row r="27" spans="1:7" ht="15" customHeight="1" x14ac:dyDescent="0.3">
      <c r="A27" s="595" t="s">
        <v>1236</v>
      </c>
      <c r="B27" s="596" t="s">
        <v>1232</v>
      </c>
      <c r="C27" s="597">
        <f t="shared" si="4"/>
        <v>60333.79</v>
      </c>
      <c r="D27" s="599"/>
      <c r="E27" s="598"/>
      <c r="F27" s="598">
        <v>2133.79</v>
      </c>
      <c r="G27" s="598">
        <v>58200</v>
      </c>
    </row>
    <row r="28" spans="1:7" ht="15" customHeight="1" x14ac:dyDescent="0.3">
      <c r="A28" s="595" t="s">
        <v>1243</v>
      </c>
      <c r="B28" s="596" t="s">
        <v>1232</v>
      </c>
      <c r="C28" s="597">
        <f>C23</f>
        <v>86800</v>
      </c>
      <c r="D28" s="597">
        <f>D23+D27</f>
        <v>0</v>
      </c>
      <c r="E28" s="597">
        <v>2133.79</v>
      </c>
      <c r="F28" s="597">
        <f t="shared" ref="F28:G28" si="5">F23+F27</f>
        <v>86733.79</v>
      </c>
      <c r="G28" s="597">
        <f t="shared" si="5"/>
        <v>58200</v>
      </c>
    </row>
    <row r="29" spans="1:7" ht="15" customHeight="1" x14ac:dyDescent="0.3">
      <c r="A29" s="595" t="s">
        <v>1244</v>
      </c>
      <c r="B29" s="596" t="s">
        <v>310</v>
      </c>
      <c r="C29" s="597">
        <f>IFERROR(C30/C23*100,0)</f>
        <v>13.227949067751602</v>
      </c>
      <c r="D29" s="597">
        <f>IFERROR(MIN(D21,D17),0)</f>
        <v>0</v>
      </c>
      <c r="E29" s="597">
        <f t="shared" ref="E29:G29" si="6">IFERROR(MIN(E21,E17),0)</f>
        <v>3.0093389448435923</v>
      </c>
      <c r="F29" s="597">
        <f t="shared" si="6"/>
        <v>4.6018129927646569</v>
      </c>
      <c r="G29" s="597">
        <f t="shared" si="6"/>
        <v>12.76</v>
      </c>
    </row>
    <row r="30" spans="1:7" ht="15" customHeight="1" x14ac:dyDescent="0.3">
      <c r="A30" s="595" t="s">
        <v>1245</v>
      </c>
      <c r="B30" s="596" t="s">
        <v>1232</v>
      </c>
      <c r="C30" s="597">
        <f>SUM(D30:G30)</f>
        <v>11481.85979080839</v>
      </c>
      <c r="D30" s="597">
        <f>D28*D29/100</f>
        <v>0</v>
      </c>
      <c r="E30" s="597">
        <f>E28*E29/100</f>
        <v>64.212973471178088</v>
      </c>
      <c r="F30" s="597">
        <f>F28*F29/100</f>
        <v>3991.3268173372121</v>
      </c>
      <c r="G30" s="597">
        <f>G28*G29/100</f>
        <v>7426.32</v>
      </c>
    </row>
    <row r="31" spans="1:7" ht="15" customHeight="1" x14ac:dyDescent="0.3">
      <c r="A31" s="601"/>
      <c r="B31" s="602"/>
      <c r="C31" s="603"/>
      <c r="D31" s="603"/>
      <c r="E31" s="603"/>
      <c r="F31" s="603"/>
      <c r="G31" s="603"/>
    </row>
    <row r="32" spans="1:7" x14ac:dyDescent="0.3">
      <c r="A32" s="604" t="s">
        <v>1246</v>
      </c>
    </row>
    <row r="33" spans="1:7" x14ac:dyDescent="0.3">
      <c r="A33" s="592" t="s">
        <v>1247</v>
      </c>
      <c r="D33" s="605"/>
      <c r="E33" s="605"/>
      <c r="F33" s="605"/>
      <c r="G33" s="605"/>
    </row>
    <row r="35" spans="1:7" x14ac:dyDescent="0.3">
      <c r="A35" s="592" t="s">
        <v>10</v>
      </c>
      <c r="B35" s="592" t="s">
        <v>963</v>
      </c>
    </row>
  </sheetData>
  <mergeCells count="11">
    <mergeCell ref="A9:G9"/>
    <mergeCell ref="A16:A17"/>
    <mergeCell ref="A22:G22"/>
    <mergeCell ref="A1:G1"/>
    <mergeCell ref="A3:G3"/>
    <mergeCell ref="A4:G4"/>
    <mergeCell ref="A6:A7"/>
    <mergeCell ref="B6:B7"/>
    <mergeCell ref="C6:C7"/>
    <mergeCell ref="D6:G6"/>
    <mergeCell ref="A2:G2"/>
  </mergeCells>
  <dataValidations count="8">
    <dataValidation type="decimal" operator="notEqual" allowBlank="1" showInputMessage="1" showErrorMessage="1" sqref="D24:G27">
      <formula1>0.0000000000000000001</formula1>
    </dataValidation>
    <dataValidation type="decimal" operator="greaterThanOrEqual" allowBlank="1" showErrorMessage="1" errorTitle="Недопустимое значение" error="Отчетные потери должны быть положительными" sqref="C17:G17">
      <formula1>0</formula1>
    </dataValidation>
    <dataValidation type="decimal" allowBlank="1" showErrorMessage="1" errorTitle="Ошибка" error="Допускается ввод только действительных чисел!" sqref="C18:C21 C28:G31 C10:C16 D20:G21 D10:G15">
      <formula1>-9.99999999999999E+23</formula1>
      <formula2>9.99999999999999E+23</formula2>
    </dataValidation>
    <dataValidation type="decimal" allowBlank="1" showErrorMessage="1" errorTitle="Недопустимое значение" error="Отчетные потери должны быть положительными" sqref="D16:G16">
      <formula1>0</formula1>
      <formula2>D15</formula2>
    </dataValidation>
    <dataValidation type="decimal" operator="greaterThanOrEqual" allowBlank="1" showErrorMessage="1" errorTitle="Ошибка ввода" error="Сумма ВЛ и КЛ должна быть болшьше ВЛ" sqref="F18:G18">
      <formula1>F19</formula1>
    </dataValidation>
    <dataValidation type="decimal" operator="greaterThanOrEqual" allowBlank="1" showErrorMessage="1" errorTitle="Ошибка ввода!!!" error="Сумма ВЛ и КЛ должна быть болшьше ВЛ" sqref="D18:E18">
      <formula1>D19</formula1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E19:G19">
      <formula1>E18</formula1>
    </dataValidation>
    <dataValidation type="decimal" operator="lessThanOrEqual" allowBlank="1" showErrorMessage="1" errorTitle="Ошибка ввода!!" error="Протяженность ВЛ не может превышать Суммарную протяженность ВЛ и КЛ" sqref="D19">
      <formula1>D18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норм шт</vt:lpstr>
      <vt:lpstr>рас нор чис АУП</vt:lpstr>
      <vt:lpstr>расч.числ рабочих</vt:lpstr>
      <vt:lpstr>сетка</vt:lpstr>
      <vt:lpstr>ШТАТ</vt:lpstr>
      <vt:lpstr>2.2</vt:lpstr>
      <vt:lpstr>2.1</vt:lpstr>
      <vt:lpstr>1.4</vt:lpstr>
      <vt:lpstr>потери 18</vt:lpstr>
      <vt:lpstr>норм маш</vt:lpstr>
      <vt:lpstr>командировки</vt:lpstr>
      <vt:lpstr>проезд в отпуск</vt:lpstr>
      <vt:lpstr>прочие</vt:lpstr>
      <vt:lpstr>нвв</vt:lpstr>
      <vt:lpstr>1.15</vt:lpstr>
      <vt:lpstr>1.16</vt:lpstr>
      <vt:lpstr>1.20</vt:lpstr>
      <vt:lpstr>1.21</vt:lpstr>
      <vt:lpstr>1.24</vt:lpstr>
      <vt:lpstr>1.25</vt:lpstr>
      <vt:lpstr>МАТЕР ВСЕГО</vt:lpstr>
      <vt:lpstr>МАТЕРИАЛЫ</vt:lpstr>
      <vt:lpstr>МАТ АВТО</vt:lpstr>
      <vt:lpstr>МАТ ЭЛ БЕЗ охрана труда</vt:lpstr>
      <vt:lpstr>СПЕЦ ЖИД</vt:lpstr>
      <vt:lpstr>ТОПЛИВО</vt:lpstr>
      <vt:lpstr>расчет ам</vt:lpstr>
      <vt:lpstr>расчет среднегодов стоим</vt:lpstr>
      <vt:lpstr>Кап.вложения</vt:lpstr>
      <vt:lpstr>мэс</vt:lpstr>
      <vt:lpstr>Смета расходов по годам</vt:lpstr>
      <vt:lpstr>план-факт 2016</vt:lpstr>
      <vt:lpstr>Сравнить НВВ</vt:lpstr>
      <vt:lpstr>детализация</vt:lpstr>
      <vt:lpstr>стоимость провоза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2017-04-26T03:30:38Z</dcterms:modified>
</cp:coreProperties>
</file>